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00.xml" ContentType="application/vnd.openxmlformats-officedocument.spreadsheetml.table+xml"/>
  <Override PartName="/xl/tables/table101.xml" ContentType="application/vnd.openxmlformats-officedocument.spreadsheetml.table+xml"/>
  <Override PartName="/xl/tables/table102.xml" ContentType="application/vnd.openxmlformats-officedocument.spreadsheetml.table+xml"/>
  <Override PartName="/xl/tables/table103.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xml" ContentType="application/vnd.openxmlformats-officedocument.spreadsheetml.table+xml"/>
  <Override PartName="/xl/tables/table90.xml" ContentType="application/vnd.openxmlformats-officedocument.spreadsheetml.table+xml"/>
  <Override PartName="/xl/tables/table91.xml" ContentType="application/vnd.openxmlformats-officedocument.spreadsheetml.table+xml"/>
  <Override PartName="/xl/tables/table92.xml" ContentType="application/vnd.openxmlformats-officedocument.spreadsheetml.table+xml"/>
  <Override PartName="/xl/tables/table93.xml" ContentType="application/vnd.openxmlformats-officedocument.spreadsheetml.table+xml"/>
  <Override PartName="/xl/tables/table94.xml" ContentType="application/vnd.openxmlformats-officedocument.spreadsheetml.table+xml"/>
  <Override PartName="/xl/tables/table95.xml" ContentType="application/vnd.openxmlformats-officedocument.spreadsheetml.table+xml"/>
  <Override PartName="/xl/tables/table96.xml" ContentType="application/vnd.openxmlformats-officedocument.spreadsheetml.table+xml"/>
  <Override PartName="/xl/tables/table97.xml" ContentType="application/vnd.openxmlformats-officedocument.spreadsheetml.table+xml"/>
  <Override PartName="/xl/tables/table98.xml" ContentType="application/vnd.openxmlformats-officedocument.spreadsheetml.table+xml"/>
  <Override PartName="/xl/tables/table9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22368" windowHeight="9335" tabRatio="500" firstSheet="4" activeTab="8"/>
  </bookViews>
  <sheets>
    <sheet name="Orientações" sheetId="1" state="hidden" r:id="rId1"/>
    <sheet name="Servente" sheetId="2" state="hidden" r:id="rId2"/>
    <sheet name="Pedreiro" sheetId="11" r:id="rId3"/>
    <sheet name="Eletricista" sheetId="5" r:id="rId4"/>
    <sheet name="Pintor" sheetId="6" r:id="rId5"/>
    <sheet name="Tecnico Refrigeração" sheetId="7" r:id="rId6"/>
    <sheet name="Auxiliar Manutenção" sheetId="8" r:id="rId7"/>
    <sheet name="Jardineiro" sheetId="9" r:id="rId8"/>
    <sheet name="Uniformes e EPI" sheetId="12" r:id="rId9"/>
    <sheet name="EPC" sheetId="13" r:id="rId10"/>
    <sheet name="Equipamentos e Materiais" sheetId="14" r:id="rId11"/>
    <sheet name="RESUMO" sheetId="15" r:id="rId12"/>
  </sheets>
  <definedNames>
    <definedName name="SalarioBase">Servente!$D$5</definedName>
    <definedName name="Salário_Normativo_da_Categoria_Profissional">Servente!$D$5</definedName>
    <definedName name="Total1">Servente!#REF!</definedName>
    <definedName name="Total2.1">Servente!#REF!</definedName>
    <definedName name="Total2.2">Servente!#REF!</definedName>
    <definedName name="Total2.3">Servente!#REF!</definedName>
    <definedName name="_1A">Servente!$D$11</definedName>
    <definedName name="_1B">Servente!$D$12</definedName>
    <definedName name="_1C">Servente!$D$13</definedName>
    <definedName name="_1D">Servente!$D$14</definedName>
    <definedName name="_1E">Servente!$D$15</definedName>
    <definedName name="_1F">Servente!$D$16</definedName>
    <definedName name="_2.1A">Servente!$D$22</definedName>
    <definedName name="_2.1B">Servente!$D$23</definedName>
    <definedName name="_2.3A">Servente!$D$49</definedName>
    <definedName name="_2.3B">Servente!$D$50</definedName>
    <definedName name="_2.3C">Servente!$D$51</definedName>
    <definedName name="_2.3D">Servente!$D$52</definedName>
    <definedName name="_xlcn.WorksheetConnection_PlanilhaLimpeza.xlsxTable3">#REF!</definedName>
    <definedName name="_xlnm.Print_Area" localSheetId="2">Pedreiro!$A$1:$D$148</definedName>
    <definedName name="_xlnm.Print_Area" localSheetId="3">Eletricista!$A$1:$D$148</definedName>
    <definedName name="_xlnm.Print_Area" localSheetId="4">Pintor!$A$1:$D$148</definedName>
    <definedName name="_xlnm.Print_Area" localSheetId="5">'Tecnico Refrigeração'!$A$1:$D$148</definedName>
    <definedName name="_xlnm.Print_Area" localSheetId="6">'Auxiliar Manutenção'!$A$1:$D$148</definedName>
    <definedName name="_xlnm.Print_Area" localSheetId="7">Jardineiro!$A$1:$D$148</definedName>
    <definedName name="_xlnm.Print_Area" localSheetId="11">RESUMO!$A$1:$G$10</definedName>
  </definedNames>
  <calcPr calcId="144525"/>
</workbook>
</file>

<file path=xl/comments1.xml><?xml version="1.0" encoding="utf-8"?>
<comments xmlns="http://schemas.openxmlformats.org/spreadsheetml/2006/main">
  <authors>
    <author xml:space="preserve"> </author>
  </authors>
  <commentList>
    <comment ref="G16" authorId="0">
      <text>
        <r>
          <rPr>
            <sz val="9"/>
            <rFont val="Tahoma"/>
            <charset val="134"/>
          </rPr>
          <t>Daniel Carlos:
Valores que constam no caderno técnico. A unidade deve realizar pesquisa de mercado para o levantamento do percentual médio destas rubricas.</t>
        </r>
      </text>
    </comment>
  </commentList>
</comments>
</file>

<file path=xl/sharedStrings.xml><?xml version="1.0" encoding="utf-8"?>
<sst xmlns="http://schemas.openxmlformats.org/spreadsheetml/2006/main" count="2547" uniqueCount="474">
  <si>
    <t>Orientações para utilização desta Planilha</t>
  </si>
  <si>
    <t>Esta planilha tem como finalidade orientar o planejamento da contratação e fundamentar seu custo estimado , conforme item 2.9, b, do Anexo V da Instrução Normativa SEGES/MPDG nº 05, de 2017.</t>
  </si>
  <si>
    <t>Além dos cálculos e valores constantes na própria IN 05/2017, foi utilizada a metodologia de cálculo constante no caderno técnico de limpeza do Ministério do Planejamento.</t>
  </si>
  <si>
    <r>
      <rPr>
        <sz val="11"/>
        <color rgb="FF000000"/>
        <rFont val="Calibri"/>
        <charset val="134"/>
      </rPr>
      <t xml:space="preserve">Para não haver alteração nas fórmulas constantes nas planilhas, recomenda-se, com exceção da aba "Ambientes", que somente se altere os valores que constam células com fundo </t>
    </r>
    <r>
      <rPr>
        <u/>
        <sz val="11"/>
        <color rgb="FFF4B183"/>
        <rFont val="Calibri"/>
        <charset val="134"/>
      </rPr>
      <t>laranja.</t>
    </r>
  </si>
  <si>
    <t>A lista de materiais, equipamentos, EPIs e Uniformes, bem como seus respectivos valores unitários são meramente exemplificativos. Cabe à equipe de planejamento realizar o levantamento dos materiais e respectivos quantitativos necessários à execução dos serviços, bem como realizar pesquisa de preço de cada insumo, inserindo-os na planilha.</t>
  </si>
  <si>
    <t>Esta planilha calcula automaticamente o quantitativo de área para cada tipo previsto na IN 05/2017, de acordo com os ambientes inseridos na tabela correspondente. Caso a unidade já tenha o quantitativo consolidade, decorrente de estimativas pretéritas, basta inserir os valores diretamente na planilha "Tipos de Área e Produtividade", na coluna "Quantidade" (Obs. Recomenda-se apagar todo o conteúdo da coluna antes de inserir os valores).</t>
  </si>
  <si>
    <t xml:space="preserve">As produtividades que a unidade deseja utilizar deve ser inserida na planilha "Tipos de Área e Produtividade" no campo "Produtividade Personalizada". A planilha calculará automaticamente o quantitativo de serventes previsto, com base na quantidade demandada e na produtividade inserida. </t>
  </si>
  <si>
    <t>A planilha automaticamente arredonda o quantitativo de serventes, realizando os devidos ajustes nas produtividades e as utilizando para os demais cálculos da planilha.</t>
  </si>
  <si>
    <t>Caso a unidade opte pela não utilização do encarregado (recomendado nos casos de quantitativos pequenos de servente), os valores da coluna "Preço Homem Mês - Encarregado" deve ser removido.</t>
  </si>
  <si>
    <t>Foi utilizado os percentuais de lucro e custos indireitos do caderno técnico de limpeza. Recomenda-se que seja realizada pesquisa de mercado para apuração do média de mercado para tais rubricas.</t>
  </si>
  <si>
    <t>Em caso de dúvidas ou sugestões, entrar em contato por meio do e-mail: daniel.souza@ifpb.edu.br ou danieloxyjp@gmail.com</t>
  </si>
  <si>
    <t>Última atualização: 28/02/2019</t>
  </si>
  <si>
    <t xml:space="preserve"> Daniel Carlos Cruz de Souza</t>
  </si>
  <si>
    <t>Coordenação de Planejamento em Aquisições - Reitoria/IFPB</t>
  </si>
  <si>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</si>
  <si>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</si>
  <si>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</si>
  <si>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</si>
  <si>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</si>
  <si>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</si>
  <si>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</si>
  <si>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</si>
  <si>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</si>
  <si>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</si>
  <si>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</si>
  <si>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</si>
  <si>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</si>
  <si>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Salário Mínimo (Decreto</t>
  </si>
  <si>
    <t>Dias de Trabalho no mês</t>
  </si>
  <si>
    <t>Categoria Profissional</t>
  </si>
  <si>
    <t xml:space="preserve"> CCT PB000405/2018 </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</si>
  <si>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</si>
  <si>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</si>
  <si>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</si>
  <si>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</si>
  <si>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</si>
  <si>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</si>
  <si>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</si>
  <si>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</si>
  <si>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</si>
  <si>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</si>
  <si>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</si>
  <si>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</si>
  <si>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</si>
  <si>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</si>
  <si>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</si>
  <si>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</si>
  <si>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</si>
  <si>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</si>
  <si>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</si>
  <si>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</si>
  <si>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</si>
  <si>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</si>
  <si>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</si>
  <si>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</si>
  <si>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</si>
  <si>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</si>
  <si>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</si>
  <si>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</si>
  <si>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</si>
  <si>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</si>
  <si>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</si>
  <si>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</si>
  <si>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Férias e Adicional de Férias</t>
  </si>
  <si>
    <t>ISS</t>
  </si>
  <si>
    <t>2.1</t>
  </si>
  <si>
    <t>13º (décimo terceiro) Salário, Férias e Adicional de Férias</t>
  </si>
  <si>
    <t>13º (décimo terceiro) Salário</t>
  </si>
  <si>
    <t>Férias e Adicional de Férias</t>
  </si>
  <si>
    <t>Memória de Cálculo - Submódulo 2.1</t>
  </si>
  <si>
    <t>Rubrica</t>
  </si>
  <si>
    <t>Base de Cálculo</t>
  </si>
  <si>
    <t>Memória de Cálculo</t>
  </si>
  <si>
    <t>13 º (décimo terceiro) Salário</t>
  </si>
  <si>
    <t>Módulo 1 (Total)</t>
  </si>
  <si>
    <t>8,33%  x Base de Cálculo, Sendo 8,33% = 1 ÷ 12</t>
  </si>
  <si>
    <t>Base de Cálculo x [(1 ÷ 12) x ( 1 +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</si>
  <si>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</si>
  <si>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</si>
  <si>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</si>
  <si>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</si>
  <si>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</si>
  <si>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</si>
  <si>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</si>
  <si>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</si>
  <si>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</si>
  <si>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</si>
  <si>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</si>
  <si>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</si>
  <si>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</si>
  <si>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</si>
  <si>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</si>
  <si>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</si>
  <si>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</si>
  <si>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</si>
  <si>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</si>
  <si>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</si>
  <si>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</si>
  <si>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</si>
  <si>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</si>
  <si>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Assistência Médica e Familiar</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</si>
  <si>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</si>
  <si>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</si>
  <si>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</si>
  <si>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</si>
  <si>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</si>
  <si>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</si>
  <si>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</si>
  <si>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</si>
  <si>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</si>
  <si>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</si>
  <si>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</si>
  <si>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</si>
  <si>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</si>
  <si>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</si>
  <si>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</si>
  <si>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</si>
  <si>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</si>
  <si>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</si>
  <si>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</si>
  <si>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</si>
  <si>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</si>
  <si>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</si>
  <si>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</si>
  <si>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</si>
  <si>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</si>
  <si>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</si>
  <si>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</si>
  <si>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</si>
  <si>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</si>
  <si>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</si>
  <si>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</si>
  <si>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</si>
  <si>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</si>
  <si>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</si>
  <si>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</si>
  <si>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</si>
  <si>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</si>
  <si>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</si>
  <si>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</si>
  <si>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</si>
  <si>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Valor das rubricas de A a F</t>
  </si>
  <si>
    <t xml:space="preserve">Custo diário para o repositor = (Módulo 1 + Módulo 2 + Módulo 3) / 30 </t>
  </si>
  <si>
    <t>Base de cálculo x Dias de Ausência</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</si>
  <si>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</si>
  <si>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</si>
  <si>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</si>
  <si>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</si>
  <si>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</si>
  <si>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</si>
  <si>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</si>
  <si>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</si>
  <si>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</si>
  <si>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</si>
  <si>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</si>
  <si>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</si>
  <si>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</si>
  <si>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</si>
  <si>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</si>
  <si>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</si>
  <si>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</si>
  <si>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</si>
  <si>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</si>
  <si>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</si>
  <si>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</si>
  <si>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</si>
  <si>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</si>
  <si>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</si>
  <si>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</si>
  <si>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</si>
  <si>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</si>
  <si>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</si>
  <si>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</si>
  <si>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</si>
  <si>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</si>
  <si>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</si>
  <si>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</si>
  <si>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PLANILHA DE CUSTOS E FORMAÇÃO DE PREÇOS</t>
  </si>
  <si>
    <r>
      <rPr>
        <b/>
        <sz val="11"/>
        <color rgb="FF000000"/>
        <rFont val="Calibri"/>
        <charset val="134"/>
      </rPr>
      <t>Processo Administrativo n.°</t>
    </r>
    <r>
      <rPr>
        <sz val="11"/>
        <color rgb="FF000000"/>
        <rFont val="Calibri"/>
        <charset val="134"/>
      </rPr>
      <t xml:space="preserve"> 23381.003616.2022-14</t>
    </r>
  </si>
  <si>
    <t>Licitação n°</t>
  </si>
  <si>
    <t>007/2022</t>
  </si>
  <si>
    <t>Discriminação dos Serviços (Dados Referente à Contratação)</t>
  </si>
  <si>
    <t>Data -  Apresentação da Proposta</t>
  </si>
  <si>
    <t>....../......./20.......</t>
  </si>
  <si>
    <t>Município - ISSQN</t>
  </si>
  <si>
    <t>ISSQN 5 % (cinco por cento)</t>
  </si>
  <si>
    <t>Ano Acordo, Convenção ou Dissídio Coletivo</t>
  </si>
  <si>
    <t>CCT PB000517/2021</t>
  </si>
  <si>
    <t>Número de Meses de Execução Contratual</t>
  </si>
  <si>
    <t>12 (doze) meses</t>
  </si>
  <si>
    <t>Identificação do Serviço</t>
  </si>
  <si>
    <t>Tipo de Serviço</t>
  </si>
  <si>
    <t>Unidade de Medida</t>
  </si>
  <si>
    <t>Quantidade Total a Contratar</t>
  </si>
  <si>
    <t>Pedreiro</t>
  </si>
  <si>
    <t>44 horas</t>
  </si>
  <si>
    <t>MTE</t>
  </si>
  <si>
    <t>7152-10</t>
  </si>
  <si>
    <t>SEAC-PB</t>
  </si>
  <si>
    <t>01/JANEIRO</t>
  </si>
  <si>
    <t>GRUPO VIII</t>
  </si>
  <si>
    <t>Adicional de Periculosidade*</t>
  </si>
  <si>
    <t>Adicional de Insalubridade*</t>
  </si>
  <si>
    <t>*Atentar às disposições estabelecidas no subitem 10.1.8 do Termo de Referência</t>
  </si>
  <si>
    <t>BASE DE CÁLCULO PARA O SUBMÓDULO 2.2</t>
  </si>
  <si>
    <t>MÓDULO 1</t>
  </si>
  <si>
    <t>MÓDULO 2.1</t>
  </si>
  <si>
    <t>TOTAL</t>
  </si>
  <si>
    <t>SAT (+FAP de 0,5 a 2,0) (Variação: 0,5% a 6 %)</t>
  </si>
  <si>
    <r>
      <rPr>
        <sz val="11"/>
        <color rgb="FF000000"/>
        <rFont val="Calibri"/>
        <charset val="134"/>
      </rPr>
      <t>Intervalo Intrajornada (</t>
    </r>
    <r>
      <rPr>
        <sz val="10"/>
        <color rgb="FF000000"/>
        <rFont val="Calibri"/>
        <charset val="134"/>
      </rPr>
      <t>não usufruído pelo empregado</t>
    </r>
    <r>
      <rPr>
        <sz val="11"/>
        <color rgb="FF000000"/>
        <rFont val="Calibri"/>
        <charset val="134"/>
      </rPr>
      <t>)</t>
    </r>
  </si>
  <si>
    <t>Benefício Odontológico</t>
  </si>
  <si>
    <t>Auxílio Morte/Funeral</t>
  </si>
  <si>
    <t>Plano de Assistência Familiar e Social</t>
  </si>
  <si>
    <t>Incidência de GPS, FGTS e outras contribuições sobre o Aviso Prévio Trabalhado</t>
  </si>
  <si>
    <t>BASE DE CÁLCULO PARA O MÓDULO 4</t>
  </si>
  <si>
    <t>MÓDULO 2</t>
  </si>
  <si>
    <t>MÓDULO 3</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</si>
  <si>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</si>
  <si>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</si>
  <si>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</si>
  <si>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</si>
  <si>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DIÁRIAS</t>
  </si>
  <si>
    <t>QUANTIDADE (ANUAL)</t>
  </si>
  <si>
    <t>VALOR UNITÁRIO</t>
  </si>
  <si>
    <t>VALOR TOTAL</t>
  </si>
  <si>
    <t>Uniformes e Equipamento de Proteção Individual - EPI</t>
  </si>
  <si>
    <t>Com Pernoite*</t>
  </si>
  <si>
    <t>Equipamentos de Proteção Coletiva - EPC</t>
  </si>
  <si>
    <t>Sem Pernoite*</t>
  </si>
  <si>
    <t>VALOR TOTAL MENSAL</t>
  </si>
  <si>
    <t>Diárias</t>
  </si>
  <si>
    <t>Acórdão 2.171/2005-TCU-Plenário</t>
  </si>
  <si>
    <t>* Valores estabelecidos em conformidade com as disposição da CCT n.° PB 000517/2021</t>
  </si>
  <si>
    <t>BASE DE CÁLCULO PARA O MÓDULO 6</t>
  </si>
  <si>
    <t>MÓDULO 4</t>
  </si>
  <si>
    <t>MÓDULO 5</t>
  </si>
  <si>
    <t>CÁLCULO POR DENTRO</t>
  </si>
  <si>
    <t>TOTAL DOS TRIBUTOS</t>
  </si>
  <si>
    <t>BASE DE CÁLCULO</t>
  </si>
  <si>
    <t>ÍNDICE</t>
  </si>
  <si>
    <t>C.1 - PIS</t>
  </si>
  <si>
    <t>C.2 - COFINS</t>
  </si>
  <si>
    <t>C.3 - ISS</t>
  </si>
  <si>
    <t>Subtotal (A + B + C + D + E)</t>
  </si>
  <si>
    <t>VALOR TOTAL POR EMPREGADO</t>
  </si>
  <si>
    <t>008/2022</t>
  </si>
  <si>
    <t>Eletricista</t>
  </si>
  <si>
    <t>7156-10</t>
  </si>
  <si>
    <t>Lei n.° 12.740/2012 – NR 16 Anexo IV</t>
  </si>
  <si>
    <t>Pintor</t>
  </si>
  <si>
    <t>7166-10</t>
  </si>
  <si>
    <t>Técnico Mecânico em Refrigeração</t>
  </si>
  <si>
    <t>7257-05</t>
  </si>
  <si>
    <t>Auxiliar de Manutenção Predial</t>
  </si>
  <si>
    <t>5143-10</t>
  </si>
  <si>
    <t>Jardineiro</t>
  </si>
  <si>
    <t>6220-10</t>
  </si>
  <si>
    <t>GRUPO III</t>
  </si>
  <si>
    <t>UNIFORMES E EQUIPAMENTOS DE PROTEÇÃO INDIVIDUAL E COLETIVO</t>
  </si>
  <si>
    <t>PEDREIRO</t>
  </si>
  <si>
    <t>ITEM</t>
  </si>
  <si>
    <t>PEÇA</t>
  </si>
  <si>
    <t>DESCRIÇÃO</t>
  </si>
  <si>
    <t>UNIDADE</t>
  </si>
  <si>
    <t>VALOR MÉDIO UNITÁRIO (R$)</t>
  </si>
  <si>
    <t>QUANTIDADE ANUAL</t>
  </si>
  <si>
    <t>VALOR ANUAL POR EMPREGADO (R$)</t>
  </si>
  <si>
    <t>VALOR MENSAL POR EMPREGADO (R$)</t>
  </si>
  <si>
    <t>CALÇA</t>
  </si>
  <si>
    <t>Calça com cós de elástico, dois bolsos frontais e dois bolsos na traseira, confeccionado em brim 100% algodão, sem partes metálicas.</t>
  </si>
  <si>
    <t>Unidade</t>
  </si>
  <si>
    <t>CAMISA</t>
  </si>
  <si>
    <t>Camisa com gola tipo italiana, com mangas curtas, identificação da empresa na parte frontal, confeccionada em brim 100% algodão.</t>
  </si>
  <si>
    <t>Camisa tipo Polo em Piquet de Malha – 50% algodão e 50% poliéster,  com mangas curtas, identificação da empresa na parte frontal, na cor Branca.</t>
  </si>
  <si>
    <t>BONÉ</t>
  </si>
  <si>
    <t>Boné árabe em brim 100% algodão para proteção da face em trabalhos a céu aberto.</t>
  </si>
  <si>
    <t>MANGUITO PROTEÇÃO UV</t>
  </si>
  <si>
    <t>Manguito Proteção UV 50: Dimensões Aproximadas: P: 9x27,7 cm (L x C), G: 9,5x41 cm (L x P), Composição: 94% Poliamida e 6% Elastano; Proteção UV, Antimicrobial, Seamless Dry, Proteção Solar: Com FPS; na cor preta.</t>
  </si>
  <si>
    <t>Par</t>
  </si>
  <si>
    <t>CALÇADO</t>
  </si>
  <si>
    <r>
      <rPr>
        <i/>
        <sz val="11"/>
        <rFont val="Carlito"/>
        <charset val="134"/>
      </rPr>
      <t>Calçado de segurança tipo botina, confeccionado em couro vaqueta, fechamento em elástico, com biqueira de aço, solado em poliuretano</t>
    </r>
    <r>
      <rPr>
        <i/>
        <sz val="11"/>
        <rFont val="Arial"/>
        <charset val="134"/>
      </rPr>
      <t> </t>
    </r>
    <r>
      <rPr>
        <i/>
        <sz val="11"/>
        <rFont val="Carlito"/>
        <charset val="134"/>
      </rPr>
      <t>bidensidade.</t>
    </r>
  </si>
  <si>
    <r>
      <rPr>
        <i/>
        <sz val="11"/>
        <rFont val="Carlito"/>
        <charset val="134"/>
      </rPr>
      <t>Calçado ocupacional de uso profissional, tipo bota PVC cano longo, impermeável, confeccionado em policloreto de vinila (PVC), com resistência química, sem biqueira, propriedades antiderrapantes,</t>
    </r>
    <r>
      <rPr>
        <i/>
        <sz val="11"/>
        <rFont val="Arial"/>
        <charset val="134"/>
      </rPr>
      <t> </t>
    </r>
    <r>
      <rPr>
        <i/>
        <sz val="11"/>
        <rFont val="Carlito"/>
        <charset val="134"/>
      </rPr>
      <t>para uso em locais alagadiços.</t>
    </r>
  </si>
  <si>
    <t>MEIA</t>
  </si>
  <si>
    <t>Meia, modelo cano alto , composição: 88% Algodão, 2% Lycra e 10% Poliamida, na cor preta.</t>
  </si>
  <si>
    <t>CRACHÁ</t>
  </si>
  <si>
    <t xml:space="preserve"> Crachá de identiﬁcação, em plástico rígido, contendo logomarca da empresa, foto e nome completo do funcionário.</t>
  </si>
  <si>
    <t>CAPACETE</t>
  </si>
  <si>
    <t>Capacete de segurança, tipo II classe A, aba frontal, com carneira e jugular. Regulagem de tamanho através de ajuste simples, cor azul, com selo de marcação do INMETRO.</t>
  </si>
  <si>
    <t>CINTO DE SEGURANÇA</t>
  </si>
  <si>
    <t>Conjunto cinto de segurança tipo paraquedista com talabarte duplo e kit trava queda (o cinto de segurança e o talabarte deverão ter o mesmo C.A.)</t>
  </si>
  <si>
    <t>Conjunto</t>
  </si>
  <si>
    <t>LUVA</t>
  </si>
  <si>
    <t>Luva de segurança confeccionada em malha tricotada 4 fios algodão, palma com pigmento de PVC, cano curto, para uso em serviços gerais.</t>
  </si>
  <si>
    <t>ÓCULOS</t>
  </si>
  <si>
    <t>Óculos de proteção individual com lentes incolor, armação em policarbonato, lente em policarbonato, anti-embaçante e anti-risco. Modelo de sobreposição (p/ser usado sobre óculos graduados).</t>
  </si>
  <si>
    <t>PROTETOR AURICULAR</t>
  </si>
  <si>
    <t>Protetor auricular, tipo plug de três flanges, material silicone, características adicionais anti-alérgico/atóxico.</t>
  </si>
  <si>
    <t>PROTETOR SOLAR</t>
  </si>
  <si>
    <t>Protetor solar fator de proteção FPS 30 ou superior.</t>
  </si>
  <si>
    <t>RESPIRADOR FACIAL</t>
  </si>
  <si>
    <t>Respirador semifacial PFF2 dobrável, descartável, sem válvula. Indicado para proteção respiratória em ambientes hospitalares contra presença de aerodispersóides e outros agentes biológicos, aplicando-se ainda contra fumos, névoas e poeiras tóxicas.</t>
  </si>
  <si>
    <t>ELETRICISTA</t>
  </si>
  <si>
    <t>Calça com cós de elástico, dois bolsos frontais e dois bolsos na traseira, confeccionado em tecido 100% algodão com tratamento retardante a chama, sem partes metálicas, com fitas refletivas nas pernas.</t>
  </si>
  <si>
    <t>Camisa com gola tipo italiana, com mangas longas e punhos americanos, com fitas refletivas na altura dos ombros e costas e identificação da empresa na parte frontal, confeccionadas em tecido 100% algodão com tratamento retardante a chama.</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</si>
  <si>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</si>
  <si>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Capacete de segurança, tipo II classe B, aba frontal, injetados em material plástico, com carneira com ajuste traseiro e aranha, tira de suor confeccionada em TNT dublado com espuma, com jugular confeccionada com tecido de nylon e ajuste através de passador plástico, cor laranja, com selo de marcação do INMETRO.</t>
  </si>
  <si>
    <t>Luva de segurança isolante em borracha para alta tensão 20Kv, classe 2, para tensão máxima de uso até 17.000V.</t>
  </si>
  <si>
    <t>PINTOR</t>
  </si>
  <si>
    <t>TÉCNICO MECÂNICO EM REFRIGERAÇÃO</t>
  </si>
  <si>
    <t>AUXILIAR DE MANUTENÇÃO PREDIAL</t>
  </si>
  <si>
    <t>JARDINEIRO</t>
  </si>
  <si>
    <t>CAPA DE CHUVA</t>
  </si>
  <si>
    <t>Capa de chuva confeccionada em PVC com forro de poliéster, com mangas, capuz conjugado, fechamento frontal por meio de botões, fechamento das costuras através de solda eletrônica.</t>
  </si>
  <si>
    <t>EQUIPAMENTOS DE PROTEÇÃO COLETIVA</t>
  </si>
  <si>
    <t>KIT PRIMEIRO SOCORROS</t>
  </si>
  <si>
    <t>Caixa plástica tipo maleta para acondicionamento do Kit</t>
  </si>
  <si>
    <t>Tesoura sem ponta</t>
  </si>
  <si>
    <t>Luvas de procedimento</t>
  </si>
  <si>
    <t>Caixa com 50 pares</t>
  </si>
  <si>
    <t>Máscara cirúrgica</t>
  </si>
  <si>
    <t>Gazes</t>
  </si>
  <si>
    <t>Pacote</t>
  </si>
  <si>
    <t>Esparadrapo</t>
  </si>
  <si>
    <t>Rolo</t>
  </si>
  <si>
    <t>Atadura de crepe</t>
  </si>
  <si>
    <t>Soro fisiológico SF 0,9% 250 mL</t>
  </si>
  <si>
    <t>Frasco</t>
  </si>
  <si>
    <t>Antisséptico degermante 100ml</t>
  </si>
  <si>
    <t>Corda de segurança em poliamida de 12 mm de diâmetro Rolo com 100 metros</t>
  </si>
  <si>
    <t>Mangas isolantes de borracha Classe 2 (M.T.)</t>
  </si>
  <si>
    <t>Placas de sinalização “Atenção - Em manutenção”</t>
  </si>
  <si>
    <t>Cone em PVC, cor laranja com faixas refletivas, tamanho 75 cm.</t>
  </si>
  <si>
    <t>QUANTIDADE DE PROFISSIONAIS A SEREM CONTRATADOS</t>
  </si>
  <si>
    <t>VALOR MENSAL POR EMPREGADO</t>
  </si>
  <si>
    <t>MATERIAIS</t>
  </si>
  <si>
    <t>QUANTIDADE</t>
  </si>
  <si>
    <t>VALOR UNITÁRIO ESTIMADO</t>
  </si>
  <si>
    <t>VALOR TOTAL ESTIMADO</t>
  </si>
  <si>
    <r>
      <rPr>
        <b/>
        <sz val="11"/>
        <color rgb="FF000000"/>
        <rFont val="Calibri"/>
        <charset val="134"/>
      </rPr>
      <t xml:space="preserve">Alicate Universal Isolado 8" - </t>
    </r>
    <r>
      <rPr>
        <sz val="11"/>
        <color rgb="FF000000"/>
        <rFont val="Calibri"/>
        <charset val="134"/>
      </rPr>
      <t>Material: Liga de aço; Formato ‎Reto;  Cabo Isolado para 1000V</t>
    </r>
  </si>
  <si>
    <t>UND</t>
  </si>
  <si>
    <r>
      <rPr>
        <b/>
        <sz val="11"/>
        <color rgb="FF000000"/>
        <rFont val="Calibri"/>
        <charset val="134"/>
      </rPr>
      <t>Alicate de Pressão Isolado 10" -</t>
    </r>
    <r>
      <rPr>
        <sz val="11"/>
        <color rgb="FF000000"/>
        <rFont val="Calibri"/>
        <charset val="134"/>
      </rPr>
      <t xml:space="preserve"> Material: Aço forjado; Cabo isolado; Mordente</t>
    </r>
  </si>
  <si>
    <r>
      <rPr>
        <b/>
        <sz val="11"/>
        <color rgb="FF000000"/>
        <rFont val="Calibri"/>
        <charset val="134"/>
      </rPr>
      <t xml:space="preserve">Alicate de Corte Isolado 6" - </t>
    </r>
    <r>
      <rPr>
        <sz val="11"/>
        <color rgb="FF000000"/>
        <rFont val="Calibri"/>
        <charset val="134"/>
      </rPr>
      <t>Material: Aço Carbono; Cabo isolado para 1.000V; Corte Diagonal</t>
    </r>
  </si>
  <si>
    <r>
      <rPr>
        <b/>
        <sz val="11"/>
        <color rgb="FF000000"/>
        <rFont val="Calibri"/>
        <charset val="134"/>
      </rPr>
      <t>Alicate Bico Isolado 6'' -</t>
    </r>
    <r>
      <rPr>
        <sz val="11"/>
        <color rgb="FF000000"/>
        <rFont val="Calibri"/>
        <charset val="134"/>
      </rPr>
      <t xml:space="preserve"> Material: Aço forjado; Cabo isolado para 1.000V; Meia Cana</t>
    </r>
  </si>
  <si>
    <r>
      <rPr>
        <b/>
        <sz val="11"/>
        <color rgb="FF000000"/>
        <rFont val="Calibri"/>
        <charset val="134"/>
      </rPr>
      <t xml:space="preserve">Alicate Desencapador de Fios 6 Pol. </t>
    </r>
    <r>
      <rPr>
        <sz val="11"/>
        <color rgb="FF000000"/>
        <rFont val="Calibri"/>
        <charset val="134"/>
      </rPr>
      <t>- Material do corpo do alicate: Aço carbono; Capacidade do alicate desencapador: Cortar e prensar = 0,5 mm² - 6,0 mm² / Desencapar = 0,2 mm² - 6,0 mm² | Comprimento total do alicate: 6 pol - 152 mm.</t>
    </r>
  </si>
  <si>
    <r>
      <rPr>
        <b/>
        <sz val="11"/>
        <color rgb="FF000000"/>
        <rFont val="Calibri"/>
        <charset val="134"/>
      </rPr>
      <t>Alicate Prensa Terminais Pré-Isolados 7 Pol. -</t>
    </r>
    <r>
      <rPr>
        <sz val="11"/>
        <color rgb="FF000000"/>
        <rFont val="Calibri"/>
        <charset val="134"/>
      </rPr>
      <t xml:space="preserve"> Material do corpo: Aço carbono; Aplicação:  prensar terminais pré-isolados tipo fêmea, macho, forquilha (garfo), anel e pino, para fios e cabos com bitolas de 0,5mm² a 6,0mm²; Possui regulador de pressão</t>
    </r>
  </si>
  <si>
    <r>
      <rPr>
        <b/>
        <sz val="11"/>
        <color rgb="FF000000"/>
        <rFont val="Calibri"/>
        <charset val="134"/>
      </rPr>
      <t xml:space="preserve">Chave de Fenda 1/4 x 8 Pol. - </t>
    </r>
    <r>
      <rPr>
        <sz val="11"/>
        <color rgb="FF000000"/>
        <rFont val="Calibri"/>
        <charset val="134"/>
      </rPr>
      <t>Especificações Técnicas: Aço; Haste niquelada e cromada; Ponta fosfatizada; Medidas: 1/4 x 8 Pol.</t>
    </r>
  </si>
  <si>
    <r>
      <rPr>
        <b/>
        <sz val="11"/>
        <color rgb="FF000000"/>
        <rFont val="Calibri"/>
        <charset val="134"/>
      </rPr>
      <t>Chave de Fenda 3/16 x 8 Pol. -</t>
    </r>
    <r>
      <rPr>
        <sz val="11"/>
        <color rgb="FF000000"/>
        <rFont val="Calibri"/>
        <charset val="134"/>
      </rPr>
      <t xml:space="preserve"> Especificações Técnicas: Aço; Haste niquelada e cromada; Ponta fosfatizada; Medidas: 3,16 x 8 Pol.</t>
    </r>
  </si>
  <si>
    <r>
      <rPr>
        <b/>
        <sz val="11"/>
        <color rgb="FF000000"/>
        <rFont val="Calibri"/>
        <charset val="134"/>
      </rPr>
      <t>Chave de Fenda 1/2 x 10 Pol. -</t>
    </r>
    <r>
      <rPr>
        <sz val="11"/>
        <color rgb="FF000000"/>
        <rFont val="Calibri"/>
        <charset val="134"/>
      </rPr>
      <t xml:space="preserve"> Especificações Técnicas: Aço; Haste niquelada e cromada; Ponta fosfatizada; Medidas: 1,2 x 10 Pol.</t>
    </r>
  </si>
  <si>
    <r>
      <rPr>
        <b/>
        <sz val="11"/>
        <color rgb="FF000000"/>
        <rFont val="Calibri"/>
        <charset val="134"/>
      </rPr>
      <t xml:space="preserve">Chave Phillips 1/4 X 10 Pol - </t>
    </r>
    <r>
      <rPr>
        <sz val="11"/>
        <color rgb="FF000000"/>
        <rFont val="Calibri"/>
        <charset val="134"/>
      </rPr>
      <t>Haste em aço cromo vanádio temperada; Acabamento cromado; Ponta fosfatizada e magnetizada; Cabo injetado; Medidas: 1/4 X 10 Pol.</t>
    </r>
  </si>
  <si>
    <r>
      <rPr>
        <b/>
        <sz val="11"/>
        <color rgb="FF000000"/>
        <rFont val="Calibri"/>
        <charset val="134"/>
      </rPr>
      <t>Chave Phillips de 1/4 x 8 Pol. -</t>
    </r>
    <r>
      <rPr>
        <sz val="11"/>
        <color rgb="FF000000"/>
        <rFont val="Calibri"/>
        <charset val="134"/>
      </rPr>
      <t xml:space="preserve">  Haste em aço cromo vanádio temperada; Acabamento cromado; Ponta fosfatizada e magnetizada; Cabo injetado; Medidas: 1/4" x 8"</t>
    </r>
  </si>
  <si>
    <r>
      <rPr>
        <b/>
        <sz val="11"/>
        <color rgb="FF000000"/>
        <rFont val="Calibri"/>
        <charset val="134"/>
      </rPr>
      <t>Chave Phillips 3/16 x 8 pol. -</t>
    </r>
    <r>
      <rPr>
        <sz val="11"/>
        <color rgb="FF000000"/>
        <rFont val="Calibri"/>
        <charset val="134"/>
      </rPr>
      <t xml:space="preserve"> Haste em aço cromo vanádio temperada; Acabamento cromado; Ponta fosfatizada e magnetizada; Cabo injetado; Medidas: 3/16 x 8"</t>
    </r>
  </si>
  <si>
    <r>
      <rPr>
        <b/>
        <sz val="11"/>
        <color rgb="FF000000"/>
        <rFont val="Calibri"/>
        <charset val="134"/>
      </rPr>
      <t xml:space="preserve">Chave Phillips 3/16 x 3 Pol. - </t>
    </r>
    <r>
      <rPr>
        <sz val="11"/>
        <color rgb="FF000000"/>
        <rFont val="Calibri"/>
        <charset val="134"/>
      </rPr>
      <t>Haste em aço cromo vanádio temperada; Acabamento cromado; Ponta fosfatizada e magnetizada; Cabo injetado; Medidas: 3/16 x 3 Pol.</t>
    </r>
  </si>
  <si>
    <r>
      <rPr>
        <b/>
        <sz val="11"/>
        <color rgb="FF000000"/>
        <rFont val="Calibri"/>
        <charset val="134"/>
      </rPr>
      <t xml:space="preserve">Chave Phillips 1/4 x 5 Pol. - </t>
    </r>
    <r>
      <rPr>
        <sz val="11"/>
        <color rgb="FF000000"/>
        <rFont val="Calibri"/>
        <charset val="134"/>
      </rPr>
      <t>Haste em aço cromo vanádio temperada; Acabamento cromado; Ponta fosfatizada e magnetizada; Cabo injetado; Medidas: 1/4 x 5 Pol.</t>
    </r>
  </si>
  <si>
    <r>
      <rPr>
        <b/>
        <sz val="11"/>
        <color rgb="FF000000"/>
        <rFont val="Calibri"/>
        <charset val="134"/>
      </rPr>
      <t xml:space="preserve">Chave de Fenda Cotoco 1/4 x 1.1/2 Pol. - </t>
    </r>
    <r>
      <rPr>
        <sz val="11"/>
        <color rgb="FF000000"/>
        <rFont val="Calibri"/>
        <charset val="134"/>
      </rPr>
      <t>Fabricado em aço; Haste niquelada e cromada; Cabo em polipropileno; Ponta fosfatizada; Medidas: 1/4 x 1.1/2 Pol.</t>
    </r>
  </si>
  <si>
    <r>
      <rPr>
        <b/>
        <sz val="11"/>
        <color rgb="FF000000"/>
        <rFont val="Calibri"/>
        <charset val="134"/>
      </rPr>
      <t xml:space="preserve">Chave Phillips Cotoco 1/4 x 1.1/2 Pol. - </t>
    </r>
    <r>
      <rPr>
        <sz val="11"/>
        <color rgb="FF000000"/>
        <rFont val="Calibri"/>
        <charset val="134"/>
      </rPr>
      <t>Fabricado em aço; Haste niquelada e cromada; Cabo em polipropileno; Ponta fosfatizada; Medidas: 1/4 x 1.1/2 Pol.</t>
    </r>
  </si>
  <si>
    <r>
      <rPr>
        <b/>
        <sz val="11"/>
        <color rgb="FF000000"/>
        <rFont val="Calibri"/>
        <charset val="134"/>
      </rPr>
      <t xml:space="preserve">Chave de Fenda 1/8 x 3'' - </t>
    </r>
    <r>
      <rPr>
        <sz val="11"/>
        <color rgb="FF000000"/>
        <rFont val="Calibri"/>
        <charset val="134"/>
      </rPr>
      <t>Fabricado em aço; Haste niquelada e cromada; Cabo em polipropileno; Ponta fosfatizada; Medidas: 1/8 x 3 Pol.</t>
    </r>
  </si>
  <si>
    <r>
      <rPr>
        <b/>
        <sz val="11"/>
        <color rgb="FF000000"/>
        <rFont val="Calibri"/>
        <charset val="134"/>
      </rPr>
      <t xml:space="preserve">Chave Teste Elétrico - </t>
    </r>
    <r>
      <rPr>
        <sz val="11"/>
        <color rgb="FF000000"/>
        <rFont val="Calibri"/>
        <charset val="134"/>
      </rPr>
      <t>Material da haste da chave: Aço carbono; Acabamento da haste da chave: Niquelado; Tensão de trabalho da chave Teste: 100 V~ a 500 V~</t>
    </r>
  </si>
  <si>
    <r>
      <rPr>
        <b/>
        <sz val="11"/>
        <color rgb="FF000000"/>
        <rFont val="Calibri"/>
        <charset val="134"/>
      </rPr>
      <t>Chave inglesa 12 Pol. -</t>
    </r>
    <r>
      <rPr>
        <sz val="11"/>
        <color rgb="FF000000"/>
        <rFont val="Calibri"/>
        <charset val="134"/>
      </rPr>
      <t xml:space="preserve"> Fabricada em aço; Acabamento cromado; Aplicação: apertar e soltar parafusos, porcas sextavadas ou quadradas; Abertura total da boca: 35 mm; Medida: 12 Pol.</t>
    </r>
  </si>
  <si>
    <r>
      <rPr>
        <b/>
        <sz val="11"/>
        <color rgb="FF000000"/>
        <rFont val="Calibri"/>
        <charset val="134"/>
      </rPr>
      <t>Chave Inglesa 10 Pol. -</t>
    </r>
    <r>
      <rPr>
        <sz val="11"/>
        <color rgb="FF000000"/>
        <rFont val="Calibri"/>
        <charset val="134"/>
      </rPr>
      <t xml:space="preserve"> Fabricada em aço; Acabamento cromado; Aplicação: apertar e soltar parafusos, porcas sextavadas ou quadradas; Abertura total da boca: 28 mm; Medida: 10 Pol.</t>
    </r>
  </si>
  <si>
    <r>
      <rPr>
        <b/>
        <sz val="11"/>
        <color rgb="FF000000"/>
        <rFont val="Calibri"/>
        <charset val="134"/>
      </rPr>
      <t>Chave Inglesa 8 Pol. -</t>
    </r>
    <r>
      <rPr>
        <sz val="11"/>
        <color rgb="FF000000"/>
        <rFont val="Calibri"/>
        <charset val="134"/>
      </rPr>
      <t xml:space="preserve">  Fabricada em aço; Acabamento cromado; Aplicação: apertar e soltar parafusos, porcas sextavadas ou quadradas; Abertura total da boca: 23 mm; Medida: 8 Pol.</t>
    </r>
  </si>
  <si>
    <r>
      <rPr>
        <b/>
        <sz val="11"/>
        <color rgb="FF000000"/>
        <rFont val="Calibri"/>
        <charset val="134"/>
      </rPr>
      <t>Jogo de Chave Allen com 8 Peças -</t>
    </r>
    <r>
      <rPr>
        <sz val="11"/>
        <color rgb="FF000000"/>
        <rFont val="Calibri"/>
        <charset val="134"/>
      </rPr>
      <t xml:space="preserve"> Fabricado em aço cromo - vanádio; Acabamento  fosfatizada e escurecida; Medidas das Chaves: 2, 2.5, 3, 4, 5, 6, 8 e 10 mm</t>
    </r>
  </si>
  <si>
    <r>
      <rPr>
        <b/>
        <sz val="11"/>
        <color rgb="FF000000"/>
        <rFont val="Calibri"/>
        <charset val="134"/>
      </rPr>
      <t>Jogo de Chave Combinada Boca/Estria -</t>
    </r>
    <r>
      <rPr>
        <sz val="11"/>
        <color rgb="FF000000"/>
        <rFont val="Calibri"/>
        <charset val="134"/>
      </rPr>
      <t xml:space="preserve"> Material: Aço Forjado; Composto por 11 chaves; Medidas das chaves: 6 - 7 - 8 - 9 - 10 - 11 - 12 - 13 - 14 - 17 - 19mm</t>
    </r>
  </si>
  <si>
    <r>
      <rPr>
        <b/>
        <sz val="11"/>
        <color rgb="FF000000"/>
        <rFont val="Calibri"/>
        <charset val="134"/>
      </rPr>
      <t>Jogo de Soquetes com Catraca Encaixe 1/4 e 3/8 Pol. -</t>
    </r>
    <r>
      <rPr>
        <sz val="11"/>
        <color rgb="FF000000"/>
        <rFont val="Calibri"/>
        <charset val="134"/>
      </rPr>
      <t xml:space="preserve"> 1 Estojo; 1 Catraca encaixe 3/8"; 3 Soquetes de encaixe de 3/8: 11, 12 e 13 mm.; 10 Soquetes de encaixe de 1/4": 4, 5, 6, 7, 8, 9, 10, 11, 12 e 13 mm.; 10 Soquetes de encaixe de 1/4" octogonais: 5/32", 3/16", 7/32", 1/4", 9/32", 5/16", 11/32", 3/8", 13/32" e 7/16"; 3 Soquetes de encaixe de 1/4" octogonais: 1/4", 5/16" e 3/8".; 1 Extensão encaixe 3/8" x 3".; 1 Adaptador 3/8" x 1/4"; 1 Adaptador para bits; 1 Cabo de fenda para soquetes; 8 bits 25 mm: fenda (5, 6 e 7 mm), phillips (PH1, PH2 e PH3), pozi (PZ1 e PZ2).</t>
    </r>
  </si>
  <si>
    <r>
      <rPr>
        <b/>
        <sz val="11"/>
        <color rgb="FF000000"/>
        <rFont val="Calibri"/>
        <charset val="134"/>
      </rPr>
      <t xml:space="preserve">Jogo de Brocas Widea 3 a 10mm - </t>
    </r>
    <r>
      <rPr>
        <sz val="11"/>
        <color rgb="FF000000"/>
        <rFont val="Calibri"/>
        <charset val="134"/>
      </rPr>
      <t>Acabamento brilhante; Aplicações em construção civil/alvenaria; Acompanha estojo plástico com marcações de medidas, para armazenamento das ferramentas; Contém 08 peças, sendo de medidas:- 3mm – 4mm – 5mm – 6mm – 7mm – 8mm – 9mm – 10mm</t>
    </r>
  </si>
  <si>
    <r>
      <rPr>
        <b/>
        <sz val="11"/>
        <color rgb="FF000000"/>
        <rFont val="Calibri"/>
        <charset val="134"/>
      </rPr>
      <t>Jogo de brocas de aço rápido de 1/16” a 3/16” -</t>
    </r>
    <r>
      <rPr>
        <sz val="11"/>
        <color rgb="FF000000"/>
        <rFont val="Calibri"/>
        <charset val="134"/>
      </rPr>
      <t xml:space="preserve"> Acompanha estojo plástico com marcações de medidas, para armazenamento das ferramentas; Medidas das peças: 1/16 - 5/64 - 3/32 - 7/64 - 1/8 - 9/64 - 5/32 - 11/64 - 3/16 -  13/64 - 7/32 - 15/64 - 1/4 - 17/64 - 9/32 - 19/64 - 5/16 - 21/64 - 11/32 - 23/64 - 3/8”</t>
    </r>
  </si>
  <si>
    <r>
      <rPr>
        <b/>
        <sz val="11"/>
        <color rgb="FF000000"/>
        <rFont val="Calibri"/>
        <charset val="134"/>
      </rPr>
      <t>Estilete Profissional -</t>
    </r>
    <r>
      <rPr>
        <sz val="11"/>
        <color rgb="FF000000"/>
        <rFont val="Calibri"/>
        <charset val="134"/>
      </rPr>
      <t xml:space="preserve"> Material do Corpo do Estilete: Metálico revestido com borracha termoplástica; Tipo da Lâmina: Reta segmentada; Comprimento Total: 200 mm; Largura da Lâmina (mm): 25 </t>
    </r>
  </si>
  <si>
    <r>
      <rPr>
        <b/>
        <sz val="11"/>
        <color rgb="FF000000"/>
        <rFont val="Calibri"/>
        <charset val="134"/>
      </rPr>
      <t>Arco de Serra Fixo 12"-</t>
    </r>
    <r>
      <rPr>
        <sz val="11"/>
        <color rgb="FF000000"/>
        <rFont val="Calibri"/>
        <charset val="134"/>
      </rPr>
      <t xml:space="preserve">  com pintura eletrostática a pó na cor preta, lâmina de serra e cabo injetado em polipropileno</t>
    </r>
  </si>
  <si>
    <r>
      <rPr>
        <b/>
        <sz val="11"/>
        <color rgb="FF000000"/>
        <rFont val="Calibri"/>
        <charset val="134"/>
      </rPr>
      <t xml:space="preserve">Alicate Bomba-d'água Isolado 1.000 V 10" - </t>
    </r>
    <r>
      <rPr>
        <sz val="11"/>
        <color rgb="FF000000"/>
        <rFont val="Calibri"/>
        <charset val="134"/>
      </rPr>
      <t xml:space="preserve">Forjado em aço cromo vanádio; Acabamento fosfatizado; Possui 4 regulagens de abertura; Isolamento Elétrico de 1.000 V </t>
    </r>
  </si>
  <si>
    <r>
      <rPr>
        <b/>
        <sz val="11"/>
        <color rgb="FF000000"/>
        <rFont val="Calibri"/>
        <charset val="134"/>
      </rPr>
      <t xml:space="preserve">Chave Grifo 18 Pol. - </t>
    </r>
    <r>
      <rPr>
        <sz val="11"/>
        <color rgb="FF000000"/>
        <rFont val="Calibri"/>
        <charset val="134"/>
      </rPr>
      <t>Material: ‎Ferro; Mordente em aço; Medida: 18” (450 mm); Abertura do mordente: 80mm</t>
    </r>
  </si>
  <si>
    <r>
      <rPr>
        <b/>
        <sz val="11"/>
        <color rgb="FF000000"/>
        <rFont val="Calibri"/>
        <charset val="134"/>
      </rPr>
      <t xml:space="preserve">Martelo Bola 500g - </t>
    </r>
    <r>
      <rPr>
        <sz val="11"/>
        <color rgb="FF000000"/>
        <rFont val="Calibri"/>
        <charset val="134"/>
      </rPr>
      <t>Cabeça em aço resistente, Cabo em madeira legítima; Peso: 500g; Comprimento total: 330 mm; Comprimento da cabeça: 100 mm; Diâmetro da cabeça: 25 mm</t>
    </r>
  </si>
  <si>
    <r>
      <rPr>
        <b/>
        <sz val="11"/>
        <color rgb="FF000000"/>
        <rFont val="Calibri"/>
        <charset val="134"/>
      </rPr>
      <t>Marreta Oitavada 500 g -</t>
    </r>
    <r>
      <rPr>
        <sz val="11"/>
        <color rgb="FF000000"/>
        <rFont val="Calibri"/>
        <charset val="134"/>
      </rPr>
      <t xml:space="preserve"> Cabeça forjada e temperada em aço carbono especial; Cabeça com acabamento envernizado; Cabo em madeira envernizada; Fixação por cunha metálica; Comprimento da cabeça: 89 mm; Comprimento total:255 mm; Diâmetro do batente: 30 mm</t>
    </r>
  </si>
  <si>
    <r>
      <rPr>
        <b/>
        <sz val="11"/>
        <color rgb="FF000000"/>
        <rFont val="Calibri"/>
        <charset val="134"/>
      </rPr>
      <t xml:space="preserve">Marreta Oitavada 1Kg - </t>
    </r>
    <r>
      <rPr>
        <sz val="11"/>
        <color rgb="FF000000"/>
        <rFont val="Calibri"/>
        <charset val="134"/>
      </rPr>
      <t>Cabeça forjada e temperada em aço carbono especial; Cabeça com acabamento envernizado; Cabo em madeira envernizada; Comprimento total:320 mm</t>
    </r>
  </si>
  <si>
    <r>
      <rPr>
        <b/>
        <sz val="11"/>
        <color rgb="FF000000"/>
        <rFont val="Calibri"/>
        <charset val="134"/>
      </rPr>
      <t xml:space="preserve">Talhadeira Sextavada 6 Pol. - </t>
    </r>
    <r>
      <rPr>
        <sz val="11"/>
        <color rgb="FF000000"/>
        <rFont val="Calibri"/>
        <charset val="134"/>
      </rPr>
      <t>Corpo em aço especial; Barra sextavada; Têmpera por indução nas duas extremidades</t>
    </r>
  </si>
  <si>
    <r>
      <rPr>
        <b/>
        <sz val="11"/>
        <color rgb="FF000000"/>
        <rFont val="Calibri"/>
        <charset val="134"/>
      </rPr>
      <t>Talhadeira Sextavada 8 Pol. -</t>
    </r>
    <r>
      <rPr>
        <sz val="11"/>
        <color rgb="FF000000"/>
        <rFont val="Calibri"/>
        <charset val="134"/>
      </rPr>
      <t xml:space="preserve"> Corpo em aço especial; Barra sextavada; Têmpera por indução nas duas extremidades</t>
    </r>
  </si>
  <si>
    <r>
      <rPr>
        <b/>
        <sz val="11"/>
        <color rgb="FF000000"/>
        <rFont val="Calibri"/>
        <charset val="134"/>
      </rPr>
      <t xml:space="preserve">Tesoura Para Corte de Chapa - </t>
    </r>
    <r>
      <rPr>
        <sz val="11"/>
        <color rgb="FF000000"/>
        <rFont val="Calibri"/>
        <charset val="134"/>
      </rPr>
      <t>Tipo Aviação; Corte Reto; Mecanismo de alavanca dupla; Cabo emborrachado</t>
    </r>
  </si>
  <si>
    <r>
      <rPr>
        <b/>
        <sz val="11"/>
        <color rgb="FF000000"/>
        <rFont val="Calibri"/>
        <charset val="134"/>
      </rPr>
      <t xml:space="preserve">Pá Quadrada com Cabo de Madeira 71cm - </t>
    </r>
    <r>
      <rPr>
        <sz val="11"/>
        <color rgb="FF000000"/>
        <rFont val="Calibri"/>
        <charset val="134"/>
      </rPr>
      <t>Fabricada em aço carbono; Pintura eletrostática a pó; Cabo em Madeira com acabamento envernizado</t>
    </r>
  </si>
  <si>
    <r>
      <rPr>
        <b/>
        <sz val="11"/>
        <color rgb="FF000000"/>
        <rFont val="Calibri"/>
        <charset val="134"/>
      </rPr>
      <t xml:space="preserve">Enxada Estreita Cabo 145cm - </t>
    </r>
    <r>
      <rPr>
        <sz val="11"/>
        <color rgb="FF000000"/>
        <rFont val="Calibri"/>
        <charset val="134"/>
      </rPr>
      <t xml:space="preserve"> Material: Metal; Cabo em Madeira; Mediadas: Largura 24 cm; Comprimento 145 cm</t>
    </r>
  </si>
  <si>
    <r>
      <rPr>
        <b/>
        <sz val="11"/>
        <color rgb="FF000000"/>
        <rFont val="Calibri"/>
        <charset val="134"/>
      </rPr>
      <t xml:space="preserve">Picareta Chibanca com Cabo de Madeira de 90cm - </t>
    </r>
    <r>
      <rPr>
        <sz val="11"/>
        <color rgb="FF000000"/>
        <rFont val="Calibri"/>
        <charset val="134"/>
      </rPr>
      <t>Picareta forjada em aço carbono; Cabo de madeira; Tamanho do cabo: 90 cm; Dimensões gerais: 905 x 378 x 98 mm</t>
    </r>
  </si>
  <si>
    <r>
      <rPr>
        <b/>
        <sz val="11"/>
        <color rgb="FF000000"/>
        <rFont val="Calibri"/>
        <charset val="134"/>
      </rPr>
      <t>Desempenadeira de Madeira 140 mm x 260 mm -</t>
    </r>
    <r>
      <rPr>
        <sz val="11"/>
        <color rgb="FF000000"/>
        <rFont val="Calibri"/>
        <charset val="134"/>
      </rPr>
      <t xml:space="preserve"> Material: Madeira; Medidas: 140 mm x 260 mm; Aplicação: aplicar, nivelar e espalhar uniformemente rebocos.</t>
    </r>
  </si>
  <si>
    <r>
      <rPr>
        <b/>
        <sz val="11"/>
        <color rgb="FF000000"/>
        <rFont val="Calibri"/>
        <charset val="134"/>
      </rPr>
      <t>Desempenadeira de Madeira 120 mm x 200 mm -</t>
    </r>
    <r>
      <rPr>
        <sz val="11"/>
        <color rgb="FF000000"/>
        <rFont val="Calibri"/>
        <charset val="134"/>
      </rPr>
      <t xml:space="preserve"> Material: Madeira; Medidas: 120 mm x 200 mm; Aplicação: aplicar, nivelar e espalhar uniformemente rebocos.</t>
    </r>
  </si>
  <si>
    <r>
      <rPr>
        <b/>
        <sz val="11"/>
        <color rgb="FF000000"/>
        <rFont val="Calibri"/>
        <charset val="134"/>
      </rPr>
      <t>Desempenadeira de Aço Lisa 250 mm X 120 mm -</t>
    </r>
    <r>
      <rPr>
        <sz val="11"/>
        <color rgb="FF000000"/>
        <rFont val="Calibri"/>
        <charset val="134"/>
      </rPr>
      <t xml:space="preserve"> Material da chapa: Aço; Material do Cabo: Madeira ou Polipropileno; Uso: aplicação de calfino e massa corrida </t>
    </r>
  </si>
  <si>
    <r>
      <rPr>
        <b/>
        <sz val="11"/>
        <color rgb="FF000000"/>
        <rFont val="Calibri"/>
        <charset val="134"/>
      </rPr>
      <t>Picareta com Cabo de Madeira de 95 cm -</t>
    </r>
    <r>
      <rPr>
        <sz val="11"/>
        <color rgb="FF000000"/>
        <rFont val="Calibri"/>
        <charset val="134"/>
      </rPr>
      <t xml:space="preserve"> Fabricado em aço especial; Cabo de madeira; Extremidades levemente afiadas; Tamanho total: 95 cm</t>
    </r>
  </si>
  <si>
    <r>
      <rPr>
        <b/>
        <sz val="11"/>
        <color rgb="FF000000"/>
        <rFont val="Calibri"/>
        <charset val="134"/>
      </rPr>
      <t xml:space="preserve">Alavanca Redonda Corrugada 1" x 1,50 m - </t>
    </r>
    <r>
      <rPr>
        <sz val="11"/>
        <color rgb="FF000000"/>
        <rFont val="Calibri"/>
        <charset val="134"/>
      </rPr>
      <t>Material: aço corrugado CA50, Pontas Temperadas; Medidas: 1" x 1,50 m</t>
    </r>
  </si>
  <si>
    <r>
      <rPr>
        <b/>
        <sz val="11"/>
        <color rgb="FF000000"/>
        <rFont val="Calibri"/>
        <charset val="134"/>
      </rPr>
      <t xml:space="preserve">Peneira de Aro Plástico para Areia 55 cm - </t>
    </r>
    <r>
      <rPr>
        <sz val="11"/>
        <color rgb="FF000000"/>
        <rFont val="Calibri"/>
        <charset val="134"/>
      </rPr>
      <t>Tela em arame galvanizado; Diâmetro da peneira: 55 cm; Malha da Peneira: 8; Fio da Peneira: 28; Material do aro da peneira: Plástico</t>
    </r>
  </si>
  <si>
    <r>
      <rPr>
        <b/>
        <sz val="11"/>
        <color rgb="FF000000"/>
        <rFont val="Calibri"/>
        <charset val="134"/>
      </rPr>
      <t>Martelo de Borracha 60mm -</t>
    </r>
    <r>
      <rPr>
        <sz val="11"/>
        <color rgb="FF000000"/>
        <rFont val="Calibri"/>
        <charset val="134"/>
      </rPr>
      <t xml:space="preserve"> Material da Cabeça: Borracha; Diâmetro da Cabeça do Martelo: 60,0 mm; Material do Cabo: Madeira</t>
    </r>
  </si>
  <si>
    <r>
      <rPr>
        <b/>
        <sz val="11"/>
        <color rgb="FF000000"/>
        <rFont val="Calibri"/>
        <charset val="134"/>
      </rPr>
      <t>Régua de Alumínio para Pedreiro 2 m -</t>
    </r>
    <r>
      <rPr>
        <sz val="11"/>
        <color rgb="FF000000"/>
        <rFont val="Calibri"/>
        <charset val="134"/>
      </rPr>
      <t xml:space="preserve"> Material: Alumínio; Comprimento da Régua: 2,0 m; Largura da Régua: 49,7 mm; Altura da Régua: 25,5 mm</t>
    </r>
  </si>
  <si>
    <r>
      <rPr>
        <b/>
        <sz val="11"/>
        <color rgb="FF000000"/>
        <rFont val="Calibri"/>
        <charset val="134"/>
      </rPr>
      <t>Prumo de Metal para Parede 500 g -</t>
    </r>
    <r>
      <rPr>
        <sz val="11"/>
        <color rgb="FF000000"/>
        <rFont val="Calibri"/>
        <charset val="134"/>
      </rPr>
      <t xml:space="preserve"> Material do Corpo do Prumo : Metal; Material da Base de Apoio do Prumo: Madeira; Massa do Prumo: 500 g</t>
    </r>
  </si>
  <si>
    <r>
      <rPr>
        <b/>
        <sz val="11"/>
        <color rgb="FF000000"/>
        <rFont val="Calibri"/>
        <charset val="134"/>
      </rPr>
      <t>Escala Métrica Dobrável 2m -</t>
    </r>
    <r>
      <rPr>
        <sz val="11"/>
        <color rgb="FF000000"/>
        <rFont val="Calibri"/>
        <charset val="134"/>
      </rPr>
      <t xml:space="preserve"> Fabricado em Madeira ou Fibra; Metro Dobrável: 10 dobras; Tamanho: 2m</t>
    </r>
  </si>
  <si>
    <r>
      <rPr>
        <b/>
        <sz val="11"/>
        <color rgb="FF000000"/>
        <rFont val="Calibri"/>
        <charset val="134"/>
      </rPr>
      <t>Colher de Pedreiro 9 Pol. -</t>
    </r>
    <r>
      <rPr>
        <sz val="11"/>
        <color rgb="FF000000"/>
        <rFont val="Calibri"/>
        <charset val="134"/>
      </rPr>
      <t xml:space="preserve"> Cabo de Madeira - Fabricada em aço carbono; Pintura Eletrostática a Pó; Lâmina com tamanho 9";  Guarnição Metálica</t>
    </r>
  </si>
  <si>
    <r>
      <rPr>
        <b/>
        <sz val="11"/>
        <color rgb="FF000000"/>
        <rFont val="Calibri"/>
        <charset val="134"/>
      </rPr>
      <t xml:space="preserve">Ponteiro Sextavado 8 Pol. - </t>
    </r>
    <r>
      <rPr>
        <sz val="11"/>
        <color rgb="FF000000"/>
        <rFont val="Calibri"/>
        <charset val="134"/>
      </rPr>
      <t>Corpo em aço especial; Barra sextavada; Dimensões: Largura: 1,9 cm x Altura: 0,6 cm x Comprimento: 20 cm.</t>
    </r>
  </si>
  <si>
    <r>
      <rPr>
        <b/>
        <sz val="11"/>
        <color rgb="FF000000"/>
        <rFont val="Calibri"/>
        <charset val="134"/>
      </rPr>
      <t>Torquês para Armador 9" -</t>
    </r>
    <r>
      <rPr>
        <sz val="11"/>
        <color rgb="FF000000"/>
        <rFont val="Calibri"/>
        <charset val="134"/>
      </rPr>
      <t xml:space="preserve">  Material Aço Carbono; Material do Cabo: Plástico; Aplicação: cortar, apertar e dobrar arames e ferros; Medida: 9 Pol.</t>
    </r>
  </si>
  <si>
    <r>
      <rPr>
        <b/>
        <sz val="11"/>
        <color rgb="FF000000"/>
        <rFont val="Calibri"/>
        <charset val="134"/>
      </rPr>
      <t>Esquadro em Aço -</t>
    </r>
    <r>
      <rPr>
        <sz val="11"/>
        <color rgb="FF000000"/>
        <rFont val="Calibri"/>
        <charset val="134"/>
      </rPr>
      <t xml:space="preserve"> Material: Aço Temperado; Cabo em Plástico Injetado; Dimensões: Altura 1,4cm  | Largura: 14,5cm | Comprimento: 29,4cm</t>
    </r>
  </si>
  <si>
    <r>
      <rPr>
        <b/>
        <sz val="11"/>
        <color rgb="FF000000"/>
        <rFont val="Calibri"/>
        <charset val="134"/>
      </rPr>
      <t>Linha de Pedreiro Trançada 100 m -</t>
    </r>
    <r>
      <rPr>
        <sz val="11"/>
        <color rgb="FF000000"/>
        <rFont val="Calibri"/>
        <charset val="134"/>
      </rPr>
      <t xml:space="preserve">  Material: PE (Polietileno); Carretel com 100 Metros; Aplicação: Indicado para Construção Civil para Alinhamento em Geral</t>
    </r>
  </si>
  <si>
    <r>
      <rPr>
        <b/>
        <sz val="11"/>
        <color rgb="FF000000"/>
        <rFont val="Calibri"/>
        <charset val="134"/>
      </rPr>
      <t>Pé de Cabra Forjado 24 Pol. -</t>
    </r>
    <r>
      <rPr>
        <sz val="11"/>
        <color rgb="FF000000"/>
        <rFont val="Calibri"/>
        <charset val="134"/>
      </rPr>
      <t xml:space="preserve"> Corpo em aço forjado com secção hexagonal; Comprimento: 24” (60 cm); Espessura do Corpo: 19 mm</t>
    </r>
  </si>
  <si>
    <r>
      <rPr>
        <b/>
        <sz val="11"/>
        <color rgb="FF000000"/>
        <rFont val="Calibri"/>
        <charset val="134"/>
      </rPr>
      <t>Nível de Alumínio 14 Pol. -</t>
    </r>
    <r>
      <rPr>
        <sz val="11"/>
        <color rgb="FF000000"/>
        <rFont val="Calibri"/>
        <charset val="134"/>
      </rPr>
      <t xml:space="preserve">  Corpo De Alumínio; Régua Graduada; Possui: 3 Bolhas de Nível</t>
    </r>
  </si>
  <si>
    <r>
      <rPr>
        <b/>
        <sz val="11"/>
        <color rgb="FF000000"/>
        <rFont val="Calibri"/>
        <charset val="134"/>
      </rPr>
      <t xml:space="preserve">Mangueira para Nível 3/8'' - </t>
    </r>
    <r>
      <rPr>
        <sz val="11"/>
        <color rgb="FF000000"/>
        <rFont val="Calibri"/>
        <charset val="134"/>
      </rPr>
      <t xml:space="preserve"> Material: Plástico , Aplicação: Medida De Nível , Cor: Cristal , Diâmetro Interno: 3/8 Pol.</t>
    </r>
  </si>
  <si>
    <t>Metro</t>
  </si>
  <si>
    <r>
      <rPr>
        <b/>
        <sz val="11"/>
        <color rgb="FF000000"/>
        <rFont val="Calibri"/>
        <charset val="134"/>
      </rPr>
      <t>Trena com Caixa Plástica Emborrachada 5 m -</t>
    </r>
    <r>
      <rPr>
        <sz val="11"/>
        <color rgb="FF000000"/>
        <rFont val="Calibri"/>
        <charset val="134"/>
      </rPr>
      <t xml:space="preserve"> Com caixa plástica emborrachada; Comprimento: 5 metros; Largura da fita 3/4"</t>
    </r>
  </si>
  <si>
    <r>
      <rPr>
        <b/>
        <sz val="11"/>
        <color rgb="FF000000"/>
        <rFont val="Calibri"/>
        <charset val="134"/>
      </rPr>
      <t>Diamante Rodel Ø7 x 80mm -</t>
    </r>
    <r>
      <rPr>
        <sz val="11"/>
        <color rgb="FF000000"/>
        <rFont val="Calibri"/>
        <charset val="134"/>
      </rPr>
      <t xml:space="preserve"> Haste em aço carbono zincado com disco de carboneto de tungstênio (wídia)</t>
    </r>
  </si>
  <si>
    <r>
      <rPr>
        <b/>
        <sz val="11"/>
        <color rgb="FF000000"/>
        <rFont val="Calibri"/>
        <charset val="134"/>
      </rPr>
      <t>Pincel de pelo de 2 cm -</t>
    </r>
    <r>
      <rPr>
        <sz val="11"/>
        <color rgb="FF000000"/>
        <rFont val="Calibri"/>
        <charset val="134"/>
      </rPr>
      <t xml:space="preserve"> Material Cerdas: Pelo De Malta , Tamanho: 3/4 POL, Tipo Cabo: Curto , Material Cabo: Madeira , Formato: Retangular</t>
    </r>
  </si>
  <si>
    <r>
      <rPr>
        <b/>
        <sz val="11"/>
        <color rgb="FF000000"/>
        <rFont val="Calibri"/>
        <charset val="134"/>
      </rPr>
      <t xml:space="preserve">Pincel de pelo de 4 cm - </t>
    </r>
    <r>
      <rPr>
        <sz val="11"/>
        <color rgb="FF000000"/>
        <rFont val="Calibri"/>
        <charset val="134"/>
      </rPr>
      <t>Material Cerdas: Pelo De Malta , Tamanho: 1. 1/2 POL, Tipo Cabo: Curto , Material Cabo: Madeira , Formato: Retangular</t>
    </r>
  </si>
  <si>
    <r>
      <rPr>
        <b/>
        <sz val="11"/>
        <color rgb="FF000000"/>
        <rFont val="Calibri"/>
        <charset val="134"/>
      </rPr>
      <t>Pincel de pelo de 8 cm -</t>
    </r>
    <r>
      <rPr>
        <sz val="11"/>
        <color rgb="FF000000"/>
        <rFont val="Calibri"/>
        <charset val="134"/>
      </rPr>
      <t xml:space="preserve"> Material Cerdas: Pelo De Malta , Tamanho: 3 POL, Tipo Cabo: Curto , Material Cabo: Madeira , Formato: Retangular</t>
    </r>
  </si>
  <si>
    <r>
      <rPr>
        <b/>
        <sz val="11"/>
        <color rgb="FF000000"/>
        <rFont val="Calibri"/>
        <charset val="134"/>
      </rPr>
      <t>Bandeja de Pintura 23cm -</t>
    </r>
    <r>
      <rPr>
        <sz val="11"/>
        <color rgb="FF000000"/>
        <rFont val="Calibri"/>
        <charset val="134"/>
      </rPr>
      <t xml:space="preserve"> Corpo fabricado em polipropileno, possui frisos removedores do excesso de tinta; Aplicação: Serviços de pinturas em geral; Medida: 23 cm</t>
    </r>
  </si>
  <si>
    <r>
      <rPr>
        <b/>
        <sz val="11"/>
        <color rgb="FF000000"/>
        <rFont val="Calibri"/>
        <charset val="134"/>
      </rPr>
      <t>Rolo de Espuma Amarela 5 cm -</t>
    </r>
    <r>
      <rPr>
        <sz val="11"/>
        <color rgb="FF000000"/>
        <rFont val="Calibri"/>
        <charset val="134"/>
      </rPr>
      <t xml:space="preserve"> Rolo De Espuma Poliester Amarelo para Pintura; com Cabo Pop 9Cm; Aplicação : Ideal para Látex, PVA e Acrílica a base de água; Com Haste</t>
    </r>
  </si>
  <si>
    <r>
      <rPr>
        <b/>
        <sz val="11"/>
        <color rgb="FF000000"/>
        <rFont val="Calibri"/>
        <charset val="134"/>
      </rPr>
      <t>Rolo de Espuma Amarela 9 cm -</t>
    </r>
    <r>
      <rPr>
        <sz val="11"/>
        <color rgb="FF000000"/>
        <rFont val="Calibri"/>
        <charset val="134"/>
      </rPr>
      <t xml:space="preserve"> Rolo De Espuma Poliester Amarelo para Pintura; com Cabo Pop 9Cm; Aplicação : Ideal para Látex, PVA e Acrílica a base de água; Com Haste</t>
    </r>
  </si>
  <si>
    <r>
      <rPr>
        <b/>
        <sz val="11"/>
        <color rgb="FF000000"/>
        <rFont val="Calibri"/>
        <charset val="134"/>
      </rPr>
      <t>Rolo de Lã de Carneiro 15 cm  -</t>
    </r>
    <r>
      <rPr>
        <sz val="11"/>
        <color rgb="FF000000"/>
        <rFont val="Calibri"/>
        <charset val="134"/>
      </rPr>
      <t xml:space="preserve"> Material do rolo para pintura: Lã sintética; Suporte do rolo para pintura: Com suporte metálico</t>
    </r>
  </si>
  <si>
    <r>
      <rPr>
        <b/>
        <sz val="11"/>
        <color rgb="FF000000"/>
        <rFont val="Calibri"/>
        <charset val="134"/>
      </rPr>
      <t xml:space="preserve">Rolo de Lã de Carneiro 23 cm - </t>
    </r>
    <r>
      <rPr>
        <sz val="11"/>
        <color rgb="FF000000"/>
        <rFont val="Calibri"/>
        <charset val="134"/>
      </rPr>
      <t>Material do rolo para pintura: Lã sintética; Suporte do rolo para pintura: Com suporte metálico</t>
    </r>
  </si>
  <si>
    <r>
      <rPr>
        <b/>
        <sz val="11"/>
        <color rgb="FF000000"/>
        <rFont val="Calibri"/>
        <charset val="134"/>
      </rPr>
      <t>Rolo para Textura/Decoração 23 cm -</t>
    </r>
    <r>
      <rPr>
        <sz val="11"/>
        <color rgb="FF000000"/>
        <rFont val="Calibri"/>
        <charset val="134"/>
      </rPr>
      <t xml:space="preserve"> Aplicação:Decoraçâo e efeitos especiais; Medidas: 23 x 5.3 x 5.3 cm; 118 g; Sem Haste.</t>
    </r>
  </si>
  <si>
    <r>
      <rPr>
        <b/>
        <sz val="11"/>
        <color rgb="FF000000"/>
        <rFont val="Calibri"/>
        <charset val="134"/>
      </rPr>
      <t xml:space="preserve">Broxa Retangular Plástica 18 cm x 7.5 cm - </t>
    </r>
    <r>
      <rPr>
        <sz val="11"/>
        <color rgb="FF000000"/>
        <rFont val="Calibri"/>
        <charset val="134"/>
      </rPr>
      <t>Material da Base: Plástico; Material do Cabo: Plástico; Material das Cerdas: Sintéticas; Medidas: 18 cm x 7. 5 cm x  65 mm</t>
    </r>
  </si>
  <si>
    <r>
      <rPr>
        <b/>
        <sz val="11"/>
        <color rgb="FF000000"/>
        <rFont val="Calibri"/>
        <charset val="134"/>
      </rPr>
      <t>Espátula de Aço 100 mm -</t>
    </r>
    <r>
      <rPr>
        <sz val="11"/>
        <color rgb="FF000000"/>
        <rFont val="Calibri"/>
        <charset val="134"/>
      </rPr>
      <t xml:space="preserve"> Espátula com lâmina de aço inox, largura 100 mm, e cabo de madeira tratada.</t>
    </r>
  </si>
  <si>
    <r>
      <rPr>
        <b/>
        <sz val="11"/>
        <color rgb="FF000000"/>
        <rFont val="Calibri"/>
        <charset val="134"/>
      </rPr>
      <t>Espátula Dentada 10 cm -</t>
    </r>
    <r>
      <rPr>
        <sz val="11"/>
        <color rgb="FF000000"/>
        <rFont val="Calibri"/>
        <charset val="134"/>
      </rPr>
      <t xml:space="preserve"> Material: Polipropileno; Aplicação: Acabamento de texturas decorativas. </t>
    </r>
  </si>
  <si>
    <r>
      <rPr>
        <b/>
        <sz val="11"/>
        <color rgb="FF000000"/>
        <rFont val="Calibri"/>
        <charset val="134"/>
      </rPr>
      <t>Desempenadeira em Aço Dentada 400 mm x 120 mm -</t>
    </r>
    <r>
      <rPr>
        <sz val="11"/>
        <color rgb="FF000000"/>
        <rFont val="Calibri"/>
        <charset val="134"/>
      </rPr>
      <t xml:space="preserve"> Fabricada em aço; Empunhadura em madeira com haste metálica; Espaçamento entre os dentes: 10mm; Medidas: 400 mm x 120 mm </t>
    </r>
  </si>
  <si>
    <r>
      <rPr>
        <b/>
        <sz val="11"/>
        <color rgb="FF000000"/>
        <rFont val="Calibri"/>
        <charset val="134"/>
      </rPr>
      <t>Pazinha Larga para Jardinagem 30cm -</t>
    </r>
    <r>
      <rPr>
        <sz val="11"/>
        <color rgb="FF000000"/>
        <rFont val="Calibri"/>
        <charset val="134"/>
      </rPr>
      <t xml:space="preserve"> Fabricada em aço carbono; Pintura eletrostática a pó; Cabo em madeira; Medidas: 6,4 cm x 8,3 cm x 30,2 cm</t>
    </r>
  </si>
  <si>
    <r>
      <rPr>
        <b/>
        <sz val="11"/>
        <color rgb="FF000000"/>
        <rFont val="Calibri"/>
        <charset val="134"/>
      </rPr>
      <t xml:space="preserve">Garfo Metálico para Jardinagem 28,3 cm - </t>
    </r>
    <r>
      <rPr>
        <sz val="11"/>
        <color rgb="FF000000"/>
        <rFont val="Calibri"/>
        <charset val="134"/>
      </rPr>
      <t>Fabricada em aço carbono; Pintura eletrostática pó; Cabo em madeira; Medidas: 283 x 72x 49 mm</t>
    </r>
  </si>
  <si>
    <r>
      <rPr>
        <b/>
        <sz val="11"/>
        <color rgb="FF000000"/>
        <rFont val="Calibri"/>
        <charset val="134"/>
      </rPr>
      <t xml:space="preserve">Escadilho Metálico para Jardinagem - </t>
    </r>
    <r>
      <rPr>
        <sz val="11"/>
        <color rgb="FF000000"/>
        <rFont val="Calibri"/>
        <charset val="134"/>
      </rPr>
      <t>Fabricada em aço carbono; Pintura eletrostática a pó; Cabo em madeira; Medidas: 5 Pol.</t>
    </r>
  </si>
  <si>
    <r>
      <rPr>
        <b/>
        <sz val="11"/>
        <color rgb="FF000000"/>
        <rFont val="Calibri"/>
        <charset val="134"/>
      </rPr>
      <t>Jogo de Serras Copo 6 Peças -</t>
    </r>
    <r>
      <rPr>
        <sz val="11"/>
        <color rgb="FF000000"/>
        <rFont val="Calibri"/>
        <charset val="134"/>
      </rPr>
      <t xml:space="preserve"> Fabricados em aço carbono; Aplicação: Furar madeiras em geral, gesso, DryWall, placas de acrílico, PVC e plásticos; Conteúdo: Serra copos: 32 /38 / 44 / 54 mm; 1 Chave allen de fixação; 1 Broca de centro</t>
    </r>
  </si>
  <si>
    <r>
      <rPr>
        <b/>
        <sz val="11"/>
        <color rgb="FF000000"/>
        <rFont val="Calibri"/>
        <charset val="134"/>
      </rPr>
      <t xml:space="preserve">Tesoura de Poda - </t>
    </r>
    <r>
      <rPr>
        <sz val="11"/>
        <color rgb="FF000000"/>
        <rFont val="Calibri"/>
        <charset val="134"/>
      </rPr>
      <t>Lâminas em aço carbono temperado com afiação otimizada; Cabo ergonômico curvo, com batentes internos; Eixo de corte centralizado; Diâmetro de corte máximo admitido: 17 mm</t>
    </r>
  </si>
  <si>
    <r>
      <rPr>
        <b/>
        <sz val="11"/>
        <color rgb="FF000000"/>
        <rFont val="Calibri"/>
        <charset val="134"/>
      </rPr>
      <t>Tesoura para Cerca-Viva/Grama 12 Pol. -</t>
    </r>
    <r>
      <rPr>
        <sz val="11"/>
        <color rgb="FF000000"/>
        <rFont val="Calibri"/>
        <charset val="134"/>
      </rPr>
      <t xml:space="preserve"> Lâminas lisas fabricadas em aço carbono; Cabo em madeira com acabamento envernizado; com guarnição metálica.</t>
    </r>
  </si>
  <si>
    <r>
      <rPr>
        <b/>
        <sz val="11"/>
        <color rgb="FF000000"/>
        <rFont val="Calibri"/>
        <charset val="134"/>
      </rPr>
      <t xml:space="preserve">Serrote Dobrável para Poda 12,5 Pol. - </t>
    </r>
    <r>
      <rPr>
        <sz val="11"/>
        <color rgb="FF000000"/>
        <rFont val="Calibri"/>
        <charset val="134"/>
      </rPr>
      <t>Material da lâmina do serrote: Aço carbono; Material do cabo do serrote: Plástico rígido ABS; Dobrável; Medidas: 240 mm x 420 mm x 190 mm</t>
    </r>
  </si>
  <si>
    <r>
      <rPr>
        <b/>
        <sz val="11"/>
        <color rgb="FF000000"/>
        <rFont val="Calibri"/>
        <charset val="134"/>
      </rPr>
      <t xml:space="preserve">Vassoura Metálica Fixa 18 Dentes - </t>
    </r>
    <r>
      <rPr>
        <sz val="11"/>
        <color rgb="FF000000"/>
        <rFont val="Calibri"/>
        <charset val="134"/>
      </rPr>
      <t>Fabricada em aço carbono; Pintura eletrostática a pó; Possui 18 dentes de arame; Cabo em madeira; Medidas: 153.4 cm x 37.5 cm x 9.5 cm</t>
    </r>
  </si>
  <si>
    <r>
      <rPr>
        <b/>
        <sz val="11"/>
        <color rgb="FF000000"/>
        <rFont val="Calibri"/>
        <charset val="134"/>
      </rPr>
      <t>Cavadeira Articulada -</t>
    </r>
    <r>
      <rPr>
        <sz val="11"/>
        <color rgb="FF000000"/>
        <rFont val="Calibri"/>
        <charset val="134"/>
      </rPr>
      <t xml:space="preserve"> Material: Aço Carbono Especial; Cabo: Madeira (1,10 Metros); Tipo: Articulada; Dimensões (AxLxC): 12 cm x 11 cm x 129 cm.</t>
    </r>
  </si>
  <si>
    <r>
      <rPr>
        <b/>
        <sz val="11"/>
        <color rgb="FF000000"/>
        <rFont val="Calibri"/>
        <charset val="134"/>
      </rPr>
      <t xml:space="preserve">Facão 14 Pol. - </t>
    </r>
    <r>
      <rPr>
        <sz val="11"/>
        <color rgb="FF000000"/>
        <rFont val="Calibri"/>
        <charset val="134"/>
      </rPr>
      <t>Fabricado em aço com alto teor de carbono, Comprimento da lâmina do facão: 14 "; Material do cabo do facão: Madeira</t>
    </r>
  </si>
  <si>
    <r>
      <rPr>
        <b/>
        <sz val="11"/>
        <color rgb="FF000000"/>
        <rFont val="Calibri"/>
        <charset val="134"/>
      </rPr>
      <t>Carrinho de Mão Preto com Pneu de 60 Litros -</t>
    </r>
    <r>
      <rPr>
        <sz val="11"/>
        <color rgb="FF000000"/>
        <rFont val="Calibri"/>
        <charset val="134"/>
      </rPr>
      <t xml:space="preserve"> Produzido com chapas de aço; Capacidade da Caçamba: 60 Litros; Caçamba: 46 cm x 65 cm x 85 cm; Alça: 1,20 cm x 34 cm x 1,45 cm; Roda: Pé: 1,50mm; RPC 628 – 325.8; 360mm; Aro: ARC 8 CP Cubo PP 0,90mm (CH20)</t>
    </r>
  </si>
  <si>
    <r>
      <rPr>
        <b/>
        <sz val="11"/>
        <color rgb="FF000000"/>
        <rFont val="Calibri"/>
        <charset val="134"/>
      </rPr>
      <t xml:space="preserve">Pá Ajuntadeira de Bico n.° 3 - </t>
    </r>
    <r>
      <rPr>
        <sz val="11"/>
        <color rgb="FF000000"/>
        <rFont val="Calibri"/>
        <charset val="134"/>
      </rPr>
      <t>Fabricada em aço carbono; Pintura eletrostática a pó; Cabo em Madeira; Dimensões: 1.025 mm x 269 mm x 161 mm.</t>
    </r>
  </si>
  <si>
    <r>
      <rPr>
        <b/>
        <sz val="11"/>
        <color rgb="FF000000"/>
        <rFont val="Calibri"/>
        <charset val="134"/>
      </rPr>
      <t>Desentupidor de Pia Sanfonada -</t>
    </r>
    <r>
      <rPr>
        <sz val="11"/>
        <color rgb="FF000000"/>
        <rFont val="Calibri"/>
        <charset val="134"/>
      </rPr>
      <t xml:space="preserve"> Material: Borracha Flexível , Cor: Preta , Material Cabo: Plástico Resistente , Comprimento Cabo: 20 cm, Tipo: Sanfonado </t>
    </r>
  </si>
  <si>
    <r>
      <rPr>
        <b/>
        <sz val="11"/>
        <color rgb="FF000000"/>
        <rFont val="Calibri"/>
        <charset val="134"/>
      </rPr>
      <t>Desentupidor de Vaso Sanitário -</t>
    </r>
    <r>
      <rPr>
        <sz val="11"/>
        <color rgb="FF000000"/>
        <rFont val="Calibri"/>
        <charset val="134"/>
      </rPr>
      <t xml:space="preserve"> Material: Borracha Flexível , Comprimento Cabo: 50 cm, Altura: 10 cm, Cor: Preta , Diâmetro: 16 cm, Material Cabo: Madeira</t>
    </r>
  </si>
  <si>
    <r>
      <rPr>
        <b/>
        <sz val="11"/>
        <color rgb="FF000000"/>
        <rFont val="Calibri"/>
        <charset val="134"/>
      </rPr>
      <t>Desentupidor de Canos e Encanamentos Espiral -</t>
    </r>
    <r>
      <rPr>
        <sz val="11"/>
        <color rgb="FF000000"/>
        <rFont val="Calibri"/>
        <charset val="134"/>
      </rPr>
      <t xml:space="preserve"> Material: aço; Aplicação: Desentupimento de caixas de inspeção, calhas, saídas de vaso sanitário, tubulação de esgoto e tubulações; Com mola Rotativa; Dimensões: 5 m </t>
    </r>
  </si>
  <si>
    <r>
      <rPr>
        <b/>
        <sz val="11"/>
        <color rgb="FF000000"/>
        <rFont val="Calibri"/>
        <charset val="134"/>
      </rPr>
      <t>Extensão Elétrica 10 m -</t>
    </r>
    <r>
      <rPr>
        <sz val="11"/>
        <color rgb="FF000000"/>
        <rFont val="Calibri"/>
        <charset val="134"/>
      </rPr>
      <t xml:space="preserve"> Cabo PP Plano 2x1,00mm²; Plugues, Tomadas e Cabos certificados pelo Inmetro; Material Antichama; Condutor de Cobre 99,9% Puro; 127V - 1100W | 220V - 2200W</t>
    </r>
  </si>
  <si>
    <r>
      <rPr>
        <b/>
        <sz val="11"/>
        <color rgb="FF000000"/>
        <rFont val="Calibri"/>
        <charset val="134"/>
      </rPr>
      <t xml:space="preserve">Ferro De Soldar 60w x 220v - </t>
    </r>
    <r>
      <rPr>
        <sz val="11"/>
        <color rgb="FF000000"/>
        <rFont val="Calibri"/>
        <charset val="134"/>
      </rPr>
      <t>Ferro de solda com potência de 60 watts; Voltagem 220 v; Inclui suporte</t>
    </r>
  </si>
  <si>
    <r>
      <rPr>
        <b/>
        <sz val="11"/>
        <color rgb="FF000000"/>
        <rFont val="Calibri"/>
        <charset val="134"/>
      </rPr>
      <t xml:space="preserve">Lanterna Holofote Recarregável à Prova D'água - </t>
    </r>
    <r>
      <rPr>
        <sz val="11"/>
        <color rgb="FF000000"/>
        <rFont val="Calibri"/>
        <charset val="134"/>
      </rPr>
      <t>Recarregável Energia 110/250v -50/60Hz; Led durável com super brilho branco; Longo alcance de 500 metros; Potência: 30W 6000 lumens; Tensão da Bateria: 5.5V.; Autonomia da Bateria: 10 Horas; Tempo de Recarga: 8-12 Horas; Dimensões: 24,9 cm x 16,2 cm</t>
    </r>
  </si>
  <si>
    <r>
      <rPr>
        <b/>
        <sz val="11"/>
        <color rgb="FF000000"/>
        <rFont val="Calibri"/>
        <charset val="134"/>
      </rPr>
      <t>Multímetro Digital Profissional Portátil -</t>
    </r>
    <r>
      <rPr>
        <sz val="11"/>
        <color rgb="FF000000"/>
        <rFont val="Calibri"/>
        <charset val="134"/>
      </rPr>
      <t xml:space="preserve">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t>
    </r>
  </si>
  <si>
    <r>
      <rPr>
        <b/>
        <sz val="11"/>
        <color rgb="FF000000"/>
        <rFont val="Calibri"/>
        <charset val="134"/>
      </rPr>
      <t>Pente Aletas Plastica 6 Pontas -</t>
    </r>
    <r>
      <rPr>
        <sz val="11"/>
        <color rgb="FF000000"/>
        <rFont val="Calibri"/>
        <charset val="134"/>
      </rPr>
      <t xml:space="preserve"> Material: Plástico; Pentes de: 8, 9, 10, 12, 14, 15; Aplicação: Função de limpar e desentortar aletas de condensadores e evaporadores, facilitando a passagem de ar, o que diminui o risco de danos por superaquecimento.</t>
    </r>
  </si>
  <si>
    <r>
      <rPr>
        <b/>
        <sz val="11"/>
        <color rgb="FF000000"/>
        <rFont val="Calibri"/>
        <charset val="134"/>
      </rPr>
      <t>Conjunto Serra Copo Diamantado -</t>
    </r>
    <r>
      <rPr>
        <sz val="11"/>
        <color rgb="FF000000"/>
        <rFont val="Calibri"/>
        <charset val="134"/>
      </rPr>
      <t xml:space="preserve">  kit serra copo diamantado para parede e porcelanato, 20, 25, 30, 40, 50, 60, 70, 80, 90, 100, 110 mm, acoplamento: mandril 3/8 x rosca m12, comprimento: 100mm</t>
    </r>
  </si>
  <si>
    <r>
      <rPr>
        <b/>
        <sz val="11"/>
        <color rgb="FF000000"/>
        <rFont val="Calibri"/>
        <charset val="134"/>
      </rPr>
      <t>Multimetro Digital com Alicate Amperimetro -</t>
    </r>
    <r>
      <rPr>
        <sz val="11"/>
        <color rgb="FF000000"/>
        <rFont val="Calibri"/>
        <charset val="134"/>
      </rPr>
      <t xml:space="preserve">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t>
    </r>
  </si>
  <si>
    <r>
      <rPr>
        <b/>
        <sz val="11"/>
        <color rgb="FF000000"/>
        <rFont val="Calibri"/>
        <charset val="134"/>
      </rPr>
      <t xml:space="preserve">Cortador de Cerâmicas - </t>
    </r>
    <r>
      <rPr>
        <sz val="11"/>
        <color rgb="FF000000"/>
        <rFont val="Calibri"/>
        <charset val="134"/>
      </rPr>
      <t>Capacidade de corte do cortador de cerâmica manual: 510 mm; Capacidade de corte diagonal do cortador de cerâmica manual: 360 mm; Dimensões (C x L x A): 630 x 160 x 90 mm</t>
    </r>
  </si>
  <si>
    <r>
      <rPr>
        <b/>
        <sz val="11"/>
        <color rgb="FF000000"/>
        <rFont val="Calibri"/>
        <charset val="134"/>
      </rPr>
      <t>Adaime Tubular -</t>
    </r>
    <r>
      <rPr>
        <sz val="11"/>
        <color rgb="FF000000"/>
        <rFont val="Calibri"/>
        <charset val="134"/>
      </rPr>
      <t xml:space="preserve"> Material: Aço Carbono , Modelo: Tubular Modulado, Acessórios: Diagonal, Rodízio, Ferro, Painel Horizontal, Pranchão, Características Adicionais: Tipo "H" , Altura: 1,00 X 1,00</t>
    </r>
  </si>
  <si>
    <t>QUANTIDADE DE PROFISSIONAIS EMPREGADOS NA EXECUÇÃO DOS SERVIÇOS</t>
  </si>
  <si>
    <t>EQUIPAMENTOS</t>
  </si>
  <si>
    <r>
      <rPr>
        <b/>
        <sz val="11"/>
        <color rgb="FF000000"/>
        <rFont val="Calibri"/>
        <charset val="134"/>
      </rPr>
      <t>Maçarico Manual Portátil -</t>
    </r>
    <r>
      <rPr>
        <sz val="11"/>
        <color rgb="FF000000"/>
        <rFont val="Calibri"/>
        <charset val="134"/>
      </rPr>
      <t xml:space="preserve">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 </t>
    </r>
  </si>
  <si>
    <r>
      <rPr>
        <b/>
        <sz val="11"/>
        <color rgb="FF000000"/>
        <rFont val="Calibri"/>
        <charset val="134"/>
      </rPr>
      <t>Conjunto Flangeador Excêtrico -</t>
    </r>
    <r>
      <rPr>
        <sz val="11"/>
        <color rgb="FF000000"/>
        <rFont val="Calibri"/>
        <charset val="134"/>
      </rPr>
      <t xml:space="preserve">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t>
    </r>
  </si>
  <si>
    <r>
      <rPr>
        <b/>
        <sz val="11"/>
        <color rgb="FF000000"/>
        <rFont val="Calibri"/>
        <charset val="134"/>
      </rPr>
      <t>Escada Articulada 4x4 com 16 Degraus de Alumínio -</t>
    </r>
    <r>
      <rPr>
        <sz val="11"/>
        <color rgb="FF000000"/>
        <rFont val="Calibri"/>
        <charset val="134"/>
      </rPr>
      <t xml:space="preserve">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t>
    </r>
  </si>
  <si>
    <r>
      <rPr>
        <b/>
        <sz val="11"/>
        <color rgb="FF000000"/>
        <rFont val="Calibri"/>
        <charset val="134"/>
      </rPr>
      <t xml:space="preserve">Escada Extensiva Fibra de Vidro 4.20 m x 7.20 m - </t>
    </r>
    <r>
      <rPr>
        <sz val="11"/>
        <color rgb="FF000000"/>
        <rFont val="Calibri"/>
        <charset val="134"/>
      </rPr>
      <t xml:space="preserve">Confeccionados em fibra de vidro; Ddegraus das escadas são fabricados com alumínio 6061 com formato em D; Cinta de apoio para poste em correia lonada; Sapatas de Borracha antiderrapante </t>
    </r>
  </si>
  <si>
    <r>
      <rPr>
        <b/>
        <sz val="11"/>
        <color rgb="FF000000"/>
        <rFont val="Calibri"/>
        <charset val="134"/>
      </rPr>
      <t xml:space="preserve">Curvador de Tubos Manual 16 mm - </t>
    </r>
    <r>
      <rPr>
        <sz val="11"/>
        <color rgb="FF000000"/>
        <rFont val="Calibri"/>
        <charset val="134"/>
      </rPr>
      <t>Capacidade: tubos de cobre até 16mm (5/8"); Capacidade de curvatura: 180°; Possui um braço fixo para alinhar o tubo; Contém escalas para indicar o grau desejado a ser dobrado e presilha para segurar o tubo.</t>
    </r>
  </si>
  <si>
    <r>
      <rPr>
        <b/>
        <sz val="11"/>
        <color rgb="FF000000"/>
        <rFont val="Calibri"/>
        <charset val="134"/>
      </rPr>
      <t>Chave Grifo Tipo Americana 36 Pol. -</t>
    </r>
    <r>
      <rPr>
        <sz val="11"/>
        <color rgb="FF000000"/>
        <rFont val="Calibri"/>
        <charset val="134"/>
      </rPr>
      <t xml:space="preserve"> Material do corpo da chave: Aço forjado; Acabamento da Chave: Pintado e polido; Capacidade de abertura da chave Grifo: 102 mm</t>
    </r>
  </si>
  <si>
    <r>
      <rPr>
        <b/>
        <sz val="11"/>
        <color rgb="FF000000"/>
        <rFont val="Calibri"/>
        <charset val="134"/>
      </rPr>
      <t>Motocompressor de Ar Direto 1/2HP Bivolt com Kit para Pintura -</t>
    </r>
    <r>
      <rPr>
        <sz val="11"/>
        <color rgb="FF000000"/>
        <rFont val="Calibri"/>
        <charset val="134"/>
      </rPr>
      <t xml:space="preserve">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t>
    </r>
  </si>
  <si>
    <r>
      <rPr>
        <b/>
        <sz val="11"/>
        <color rgb="FF000000"/>
        <rFont val="Calibri"/>
        <charset val="134"/>
      </rPr>
      <t>Furadeira elétrica impacto profissional -</t>
    </r>
    <r>
      <rPr>
        <sz val="11"/>
        <color rgb="FF000000"/>
        <rFont val="Calibri"/>
        <charset val="134"/>
      </rPr>
      <t xml:space="preserve">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t>
    </r>
  </si>
  <si>
    <r>
      <rPr>
        <b/>
        <sz val="11"/>
        <color rgb="FF000000"/>
        <rFont val="Calibri"/>
        <charset val="134"/>
      </rPr>
      <t xml:space="preserve">Esmerilhadeira - </t>
    </r>
    <r>
      <rPr>
        <sz val="11"/>
        <color rgb="FF000000"/>
        <rFont val="Calibri"/>
        <charset val="134"/>
      </rPr>
      <t>Tipo: Angular , Voltagem: 110/220 V, Potência: 840 W, Rotação: 11.000 RPM, Diâmetro Disco: 4 1/2 PO</t>
    </r>
  </si>
  <si>
    <r>
      <rPr>
        <b/>
        <sz val="11"/>
        <color rgb="FF000000"/>
        <rFont val="Calibri"/>
        <charset val="134"/>
      </rPr>
      <t>Moto Esmeril Monofásico 6 Pol. 360W -</t>
    </r>
    <r>
      <rPr>
        <sz val="11"/>
        <color rgb="FF000000"/>
        <rFont val="Calibri"/>
        <charset val="134"/>
      </rPr>
      <t xml:space="preserve"> Potência: 360W; Frequência: 60 Hz; Tensão: 220V; Rotação: 3450 rpm; Medidas do rebolo indicado (diâm. x esp. x furo): 6” x 5/8” x 1/2"; Diâmetro do eixo: 1/2" - 12,7mm. Acompanha: 2 Rebolos retos de 6” x 5/8” x 1/2", sendo 1 grão fino e 1 grão grosso</t>
    </r>
  </si>
  <si>
    <r>
      <rPr>
        <b/>
        <sz val="11"/>
        <color rgb="FF000000"/>
        <rFont val="Calibri"/>
        <charset val="134"/>
      </rPr>
      <t>Serra Mármore 1.300W -</t>
    </r>
    <r>
      <rPr>
        <sz val="11"/>
        <color rgb="FF000000"/>
        <rFont val="Calibri"/>
        <charset val="134"/>
      </rPr>
      <t xml:space="preserve"> Potência: 1.300 NaN, Diâmetro Disco: 110 NaN, Diâmetro Furo Disco: 20 NaN, Voltagem: 220 NaN, Características Adicionais: Alto Torque, Rolamento Vedado Contra Pó.</t>
    </r>
  </si>
  <si>
    <r>
      <rPr>
        <b/>
        <sz val="11"/>
        <color rgb="FF000000"/>
        <rFont val="Calibri"/>
        <charset val="134"/>
      </rPr>
      <t xml:space="preserve">Serra tico-tico 500 W- </t>
    </r>
    <r>
      <rPr>
        <sz val="11"/>
        <color rgb="FF000000"/>
        <rFont val="Calibri"/>
        <charset val="134"/>
      </rPr>
      <t>Rotação: 3.100 RPM, Capacidade Corte Madeira: 55 MM, Capacidade Corte Aço: 6 MM, Capacidade Corte Alumínio: 10 MM, Aplicação: Marcenaria , Potência: 500 W, Tensão: 110/220</t>
    </r>
  </si>
  <si>
    <r>
      <rPr>
        <b/>
        <sz val="11"/>
        <color rgb="FF000000"/>
        <rFont val="Calibri"/>
        <charset val="134"/>
      </rPr>
      <t>Torno / Morsa de Bancada 8 Pol. -</t>
    </r>
    <r>
      <rPr>
        <sz val="11"/>
        <color rgb="FF000000"/>
        <rFont val="Calibri"/>
        <charset val="134"/>
      </rPr>
      <t xml:space="preserve"> Mordentes em aço temperado e cementado; Mordentes substituíveis; Ferro fundido nodular; fuso forjado com rosca trapezoidal; Pintura eletrostática. </t>
    </r>
  </si>
  <si>
    <r>
      <rPr>
        <b/>
        <sz val="11"/>
        <color rgb="FF000000"/>
        <rFont val="Calibri"/>
        <charset val="134"/>
      </rPr>
      <t xml:space="preserve">Lavadora de Alta Pressão - </t>
    </r>
    <r>
      <rPr>
        <sz val="11"/>
        <color rgb="FF000000"/>
        <rFont val="Calibri"/>
        <charset val="134"/>
      </rPr>
      <t>Modelo: Monofásico, Vazão: 300 L/H, Tipo: Lava-Jato , Características Adicionais: Rodas, Gatilho Auto-Desligável, Misturador, Pistola , Tensão: 110/220 V, Pressão: 1800 PS</t>
    </r>
  </si>
  <si>
    <r>
      <rPr>
        <b/>
        <sz val="11"/>
        <color rgb="FF000000"/>
        <rFont val="Calibri"/>
        <charset val="134"/>
      </rPr>
      <t>Aspirador de Pó e Líquidos 1.400W -</t>
    </r>
    <r>
      <rPr>
        <sz val="11"/>
        <color rgb="FF000000"/>
        <rFont val="Calibri"/>
        <charset val="134"/>
      </rPr>
      <t xml:space="preserve">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t>
    </r>
  </si>
  <si>
    <r>
      <rPr>
        <b/>
        <sz val="11"/>
        <color rgb="FF000000"/>
        <rFont val="Calibri"/>
        <charset val="134"/>
      </rPr>
      <t>Bomba de vácuo de 10 CFM de duplo estágio -</t>
    </r>
    <r>
      <rPr>
        <sz val="11"/>
        <color rgb="FF000000"/>
        <rFont val="Calibri"/>
        <charset val="134"/>
      </rPr>
      <t xml:space="preserve">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CFM / 283 L/M. Acessórios inclusos 01 Bomba de Vácuo, 01 Cabo de alimentação, 01 frasco de óleo para bomba.</t>
    </r>
  </si>
  <si>
    <r>
      <rPr>
        <b/>
        <sz val="11"/>
        <color rgb="FF000000"/>
        <rFont val="Calibri"/>
        <charset val="134"/>
      </rPr>
      <t xml:space="preserve">Conjunto Manifold  - </t>
    </r>
    <r>
      <rPr>
        <sz val="11"/>
        <color rgb="FF000000"/>
        <rFont val="Calibri"/>
        <charset val="134"/>
      </rPr>
      <t>Componentes: 2 Vias, 3 Mangueiras 900mm Para R12/R22/R502 E Cor , Aplicação: Manutenção Central De Ar Condicionado , Características Adicionais: Escala Baixa 0 A 30 Mmhg, 0 A 250 Psig (Manovacuô)</t>
    </r>
  </si>
  <si>
    <r>
      <rPr>
        <b/>
        <sz val="11"/>
        <color rgb="FF000000"/>
        <rFont val="Calibri"/>
        <charset val="134"/>
      </rPr>
      <t xml:space="preserve">Vacuômetro Analógico -  </t>
    </r>
    <r>
      <rPr>
        <sz val="11"/>
        <color rgb="FF000000"/>
        <rFont val="Calibri"/>
        <charset val="134"/>
      </rPr>
      <t>Material: Latão , Tipo: Portátil , Modelo: Analógico , Capacidade: 250 , Características Adicionais: Calibrado, Agulha Latão, Escala De O A 76 Cm/Hg</t>
    </r>
  </si>
  <si>
    <r>
      <rPr>
        <b/>
        <sz val="11"/>
        <color rgb="FF000000"/>
        <rFont val="Calibri"/>
        <charset val="134"/>
      </rPr>
      <t xml:space="preserve">Detector de Vazamentos Eletrônico - </t>
    </r>
    <r>
      <rPr>
        <sz val="11"/>
        <color rgb="FF000000"/>
        <rFont val="Calibri"/>
        <charset val="134"/>
      </rPr>
      <t>Temperatura de operação: 0ºC a 52ºC (30ºF a 125ºF); Sensibilidade máxima: 6g/ano (para todos refrigerantes halogenados); Duração da bateria: Aproximadamente 20 horas; Tempo de resposta: Instantâneo; Modo de operação: Contínuo, sem limitação Comprimento da sonda fixa: 20cm; Tempo de aquecimento: Aproximadamente 6 segundos; Tempo de reinicialização: 2 a 10 segundos; Fonte de Alimentação: 6V DC, quatro pilhas AAA. Em conformidade com RoHS , SAE_j1627 e padrões EN14624</t>
    </r>
  </si>
  <si>
    <r>
      <rPr>
        <b/>
        <sz val="11"/>
        <color rgb="FF000000"/>
        <rFont val="Calibri"/>
        <charset val="134"/>
      </rPr>
      <t xml:space="preserve">Capacímetro Digital - </t>
    </r>
    <r>
      <rPr>
        <sz val="11"/>
        <color rgb="FF000000"/>
        <rFont val="Calibri"/>
        <charset val="134"/>
      </rPr>
      <t>Display: LCD de 3 1/2 Dígitos , Características Adicionais: Com Holster, Entrada Protegida Por Fusível , Precisão: 0,5 PER, Capacitância Nominal: 0.1pf A 20.000 MICRO</t>
    </r>
  </si>
  <si>
    <t>Manutenção mensal</t>
  </si>
  <si>
    <t>Depreciação mensal</t>
  </si>
  <si>
    <t>Custo Total dos equipamentos (Manutenção + Depreciação)</t>
  </si>
  <si>
    <r>
      <rPr>
        <b/>
        <sz val="11"/>
        <color theme="1"/>
        <rFont val="Calibri"/>
        <charset val="134"/>
        <scheme val="minor"/>
      </rPr>
      <t>Manutenção de Equipamentos</t>
    </r>
    <r>
      <rPr>
        <sz val="11"/>
        <color theme="1"/>
        <rFont val="Calibri"/>
        <charset val="134"/>
        <scheme val="minor"/>
      </rPr>
      <t xml:space="preserve">: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
M= k x 83 x V0/VU, onde:
M = custo de manutenção mensal
K = 0,6 (conforme adotado pelo Sicro2 /DNIT – Manual de Custos Rodoviários – Volume 1, página 83);
VU = Vida Útil = 10.000 horas
V0 = Valor de aquisição do equipamento Assim:
Manutenção Mensal = Valor total dos equipamentos x 0,5% a.m.;
</t>
    </r>
    <r>
      <rPr>
        <b/>
        <sz val="11"/>
        <color theme="1"/>
        <rFont val="Calibri"/>
        <charset val="134"/>
        <scheme val="minor"/>
      </rPr>
      <t>Depreciação de Equipamentos:</t>
    </r>
    <r>
      <rPr>
        <sz val="11"/>
        <color theme="1"/>
        <rFont val="Calibri"/>
        <charset val="134"/>
        <scheme val="minor"/>
      </rPr>
      <t xml:space="preserve"> Para o cálculo do insumo Depreciação de Equipamentos, adotou-se vida útil de 8 anos e valor residual de 20%, com base no Manual de Custos Rodoviários do DNIT, volume 1, de 2003.
Depreciação Mensal = [Valor total dos equipamentos x (1,00-0,20)]/(12x8);</t>
    </r>
  </si>
  <si>
    <t>PLANILHA RESUMO</t>
  </si>
  <si>
    <t>Quantidade</t>
  </si>
  <si>
    <t>VIGÊNCIA (Mês)</t>
  </si>
  <si>
    <t>VALOR UNITÁRIO MÁXIMO ACEITÁVEL</t>
  </si>
  <si>
    <t>VALOR TOTAL MÁXIMO ACEITÁVEL</t>
  </si>
  <si>
    <r>
      <rPr>
        <sz val="11"/>
        <color theme="1"/>
        <rFont val="Calibri"/>
        <charset val="134"/>
        <scheme val="minor"/>
      </rPr>
      <t xml:space="preserve">PRESTAÇÃO DE SERVIÇOS DE APOIO ADMINISTRATIVO - Posto de serviços: </t>
    </r>
    <r>
      <rPr>
        <b/>
        <sz val="11"/>
        <color theme="1"/>
        <rFont val="Calibri"/>
        <charset val="134"/>
        <scheme val="minor"/>
      </rPr>
      <t>PEDREIRO - CBO: 7152-10</t>
    </r>
    <r>
      <rPr>
        <sz val="11"/>
        <color theme="1"/>
        <rFont val="Calibri"/>
        <charset val="134"/>
        <scheme val="minor"/>
      </rPr>
      <t>, em jornada semanal de 44 (quarenta e quatro) horas</t>
    </r>
  </si>
  <si>
    <t>POSTO</t>
  </si>
  <si>
    <r>
      <rPr>
        <sz val="11"/>
        <color theme="1"/>
        <rFont val="Calibri"/>
        <charset val="134"/>
        <scheme val="minor"/>
      </rPr>
      <t xml:space="preserve">PRESTAÇÃO DE SERVIÇOS DE APOIO ADMINISTRATIVO - Posto de serviços: </t>
    </r>
    <r>
      <rPr>
        <b/>
        <sz val="11"/>
        <color theme="1"/>
        <rFont val="Calibri"/>
        <charset val="134"/>
        <scheme val="minor"/>
      </rPr>
      <t>ELETRICISTA - CBO: 7156-10</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</si>
  <si>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PINTOR - CBO: 7166-10</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</si>
  <si>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TÉCNICO MECÂNICO EM REFRIGERAÇÃO - CBO: 7257-05</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</si>
  <si>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AUXILIAR DE MANUTENÇÃO PREDIAL - CBO: 5143-10</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</si>
  <si>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JARDINEIRO - CBO: 6220-10</t>
    </r>
    <r>
      <rPr>
        <sz val="11"/>
        <color theme="1"/>
        <rFont val="Calibri"/>
        <charset val="134"/>
        <scheme val="minor"/>
      </rPr>
      <t>, em jornada semanal de 44 (quarenta e quatro) horas.</t>
    </r>
  </si>
</sst>
</file>

<file path=xl/styles.xml><?xml version="1.0" encoding="utf-8"?>
<styleSheet xmlns="http://schemas.openxmlformats.org/spreadsheetml/2006/main">
  <numFmts count="12">
    <numFmt numFmtId="176" formatCode="&quot;R$&quot;\ #,##0.00_);[Red]\(&quot;R$&quot;\ #,##0.00\)"/>
    <numFmt numFmtId="177" formatCode="_-* #,##0_-;\-* #,##0_-;_-* &quot;-&quot;_-;_-@_-"/>
    <numFmt numFmtId="178" formatCode="_-&quot;R$&quot;* #,##0_-;\-&quot;R$&quot;* #,##0_-;_-&quot;R$&quot;* &quot;-&quot;_-;_-@_-"/>
    <numFmt numFmtId="179" formatCode="_-&quot;R$ &quot;* #,##0.00_-;&quot;-R$ &quot;* #,##0.00_-;_-&quot;R$ &quot;* \-??_-;_-@_-"/>
    <numFmt numFmtId="180" formatCode="_-* #,##0.00_-;\-* #,##0.00_-;_-* &quot;-&quot;??_-;_-@_-"/>
    <numFmt numFmtId="181" formatCode="&quot;R$&quot;#,##0.00_);[Red]\(&quot;R$&quot;#,##0.00\)"/>
    <numFmt numFmtId="182" formatCode="&quot;R$&quot;\ #,##0.00"/>
    <numFmt numFmtId="183" formatCode="&quot;R$ &quot;#,##0.00"/>
    <numFmt numFmtId="184" formatCode="&quot;R$&quot;#,##0.00_);[Red]&quot;(R$&quot;#,##0.00\)"/>
    <numFmt numFmtId="185" formatCode="0.00_ "/>
    <numFmt numFmtId="186" formatCode="0.0000_ "/>
    <numFmt numFmtId="187" formatCode="&quot;R$&quot;#,##0.00"/>
  </numFmts>
  <fonts count="50">
    <font>
      <sz val="11"/>
      <color rgb="FF000000"/>
      <name val="Calibri"/>
      <charset val="134"/>
    </font>
    <font>
      <b/>
      <sz val="11"/>
      <color theme="1"/>
      <name val="Calibri"/>
      <charset val="134"/>
      <scheme val="minor"/>
    </font>
    <font>
      <sz val="11"/>
      <color theme="1"/>
      <name val="Calibri"/>
      <charset val="134"/>
      <scheme val="minor"/>
    </font>
    <font>
      <sz val="10.5"/>
      <color rgb="FF333333"/>
      <name val="Arial"/>
      <charset val="134"/>
    </font>
    <font>
      <b/>
      <i/>
      <sz val="11"/>
      <name val="Calibri"/>
      <charset val="134"/>
    </font>
    <font>
      <b/>
      <sz val="11"/>
      <name val="Calibri"/>
      <charset val="134"/>
    </font>
    <font>
      <b/>
      <i/>
      <sz val="11"/>
      <color rgb="FF000000"/>
      <name val="Calibri"/>
      <charset val="134"/>
    </font>
    <font>
      <b/>
      <sz val="11"/>
      <color rgb="FF000000"/>
      <name val="Calibri"/>
      <charset val="134"/>
    </font>
    <font>
      <i/>
      <sz val="11"/>
      <color rgb="FF000000"/>
      <name val="Calibri"/>
      <charset val="134"/>
    </font>
    <font>
      <b/>
      <i/>
      <sz val="11"/>
      <color theme="1"/>
      <name val="Calibri"/>
      <charset val="134"/>
      <scheme val="minor"/>
    </font>
    <font>
      <i/>
      <sz val="11"/>
      <name val="Calibri"/>
      <charset val="134"/>
      <scheme val="minor"/>
    </font>
    <font>
      <sz val="11"/>
      <name val="Calibri"/>
      <charset val="134"/>
      <scheme val="minor"/>
    </font>
    <font>
      <i/>
      <sz val="11"/>
      <name val="Calibri"/>
      <charset val="134"/>
    </font>
    <font>
      <b/>
      <sz val="11"/>
      <color theme="0"/>
      <name val="Calibri"/>
      <charset val="134"/>
      <scheme val="minor"/>
    </font>
    <font>
      <b/>
      <i/>
      <sz val="11"/>
      <color rgb="FF3F3F3F"/>
      <name val="Calibri"/>
      <charset val="134"/>
    </font>
    <font>
      <i/>
      <sz val="11"/>
      <name val="Times New Roman"/>
      <charset val="134"/>
    </font>
    <font>
      <b/>
      <sz val="11"/>
      <color theme="0"/>
      <name val="Calibri"/>
      <charset val="134"/>
    </font>
    <font>
      <sz val="11"/>
      <name val="Calibri"/>
      <charset val="134"/>
    </font>
    <font>
      <i/>
      <sz val="11"/>
      <name val="Carlito"/>
      <charset val="134"/>
    </font>
    <font>
      <b/>
      <sz val="14"/>
      <color rgb="FFFFFFFF"/>
      <name val="Calibri"/>
      <charset val="134"/>
    </font>
    <font>
      <b/>
      <sz val="11"/>
      <color rgb="FFFFFFFF"/>
      <name val="Calibri"/>
      <charset val="134"/>
    </font>
    <font>
      <i/>
      <sz val="8"/>
      <color rgb="FFFF0000"/>
      <name val="Calibri"/>
      <charset val="134"/>
    </font>
    <font>
      <sz val="11"/>
      <color theme="0"/>
      <name val="Calibri"/>
      <charset val="134"/>
    </font>
    <font>
      <sz val="11"/>
      <color rgb="FFF4B183"/>
      <name val="Calibri"/>
      <charset val="134"/>
    </font>
    <font>
      <sz val="11"/>
      <color rgb="FFFFFFFF"/>
      <name val="Calibri"/>
      <charset val="134"/>
    </font>
    <font>
      <b/>
      <sz val="11"/>
      <color theme="3"/>
      <name val="Calibri"/>
      <charset val="134"/>
      <scheme val="minor"/>
    </font>
    <font>
      <sz val="11"/>
      <color theme="0"/>
      <name val="Calibri"/>
      <charset val="0"/>
      <scheme val="minor"/>
    </font>
    <font>
      <sz val="11"/>
      <color theme="1"/>
      <name val="Calibri"/>
      <charset val="0"/>
      <scheme val="minor"/>
    </font>
    <font>
      <b/>
      <sz val="11"/>
      <color rgb="FFFFFFFF"/>
      <name val="Calibri"/>
      <charset val="0"/>
      <scheme val="minor"/>
    </font>
    <font>
      <sz val="11"/>
      <color rgb="FFFF0000"/>
      <name val="Calibri"/>
      <charset val="0"/>
      <scheme val="minor"/>
    </font>
    <font>
      <b/>
      <sz val="13"/>
      <color theme="3"/>
      <name val="Calibri"/>
      <charset val="134"/>
      <scheme val="minor"/>
    </font>
    <font>
      <sz val="10"/>
      <name val="Arial"/>
      <charset val="134"/>
    </font>
    <font>
      <u/>
      <sz val="11"/>
      <color rgb="FF0000FF"/>
      <name val="Calibri"/>
      <charset val="0"/>
      <scheme val="minor"/>
    </font>
    <font>
      <sz val="11"/>
      <color rgb="FF9C6500"/>
      <name val="Calibri"/>
      <charset val="0"/>
      <scheme val="minor"/>
    </font>
    <font>
      <sz val="11"/>
      <color rgb="FFFA7D00"/>
      <name val="Calibri"/>
      <charset val="0"/>
      <scheme val="minor"/>
    </font>
    <font>
      <b/>
      <sz val="15"/>
      <color theme="3"/>
      <name val="Calibri"/>
      <charset val="134"/>
      <scheme val="minor"/>
    </font>
    <font>
      <u/>
      <sz val="11"/>
      <color rgb="FF800080"/>
      <name val="Calibri"/>
      <charset val="0"/>
      <scheme val="minor"/>
    </font>
    <font>
      <sz val="10"/>
      <color theme="1"/>
      <name val="Calibri"/>
      <charset val="134"/>
      <scheme val="minor"/>
    </font>
    <font>
      <b/>
      <sz val="11"/>
      <color rgb="FF3F3F3F"/>
      <name val="Calibri"/>
      <charset val="0"/>
      <scheme val="minor"/>
    </font>
    <font>
      <b/>
      <sz val="18"/>
      <color theme="3"/>
      <name val="Calibri"/>
      <charset val="134"/>
      <scheme val="minor"/>
    </font>
    <font>
      <i/>
      <sz val="11"/>
      <color rgb="FF7F7F7F"/>
      <name val="Calibri"/>
      <charset val="0"/>
      <scheme val="minor"/>
    </font>
    <font>
      <sz val="11"/>
      <color rgb="FF3F3F76"/>
      <name val="Calibri"/>
      <charset val="0"/>
      <scheme val="minor"/>
    </font>
    <font>
      <b/>
      <sz val="11"/>
      <color rgb="FFFA7D00"/>
      <name val="Calibri"/>
      <charset val="0"/>
      <scheme val="minor"/>
    </font>
    <font>
      <b/>
      <sz val="11"/>
      <color theme="1"/>
      <name val="Calibri"/>
      <charset val="0"/>
      <scheme val="minor"/>
    </font>
    <font>
      <sz val="11"/>
      <color rgb="FF9C0006"/>
      <name val="Calibri"/>
      <charset val="0"/>
      <scheme val="minor"/>
    </font>
    <font>
      <sz val="11"/>
      <color rgb="FF006100"/>
      <name val="Calibri"/>
      <charset val="0"/>
      <scheme val="minor"/>
    </font>
    <font>
      <i/>
      <sz val="11"/>
      <name val="Arial"/>
      <charset val="134"/>
    </font>
    <font>
      <sz val="10"/>
      <color rgb="FF000000"/>
      <name val="Calibri"/>
      <charset val="134"/>
    </font>
    <font>
      <u/>
      <sz val="11"/>
      <color rgb="FFF4B183"/>
      <name val="Calibri"/>
      <charset val="134"/>
    </font>
    <font>
      <sz val="9"/>
      <name val="Tahoma"/>
      <charset val="134"/>
    </font>
  </fonts>
  <fills count="48">
    <fill>
      <patternFill patternType="none"/>
    </fill>
    <fill>
      <patternFill patternType="gray125"/>
    </fill>
    <fill>
      <patternFill patternType="solid">
        <fgColor theme="9"/>
        <bgColor theme="9"/>
      </patternFill>
    </fill>
    <fill>
      <patternFill patternType="solid">
        <fgColor theme="0" tint="-0.5"/>
        <bgColor indexed="64"/>
      </patternFill>
    </fill>
    <fill>
      <patternFill patternType="solid">
        <fgColor rgb="FFD7D7D7"/>
        <bgColor indexed="64"/>
      </patternFill>
    </fill>
    <fill>
      <patternFill patternType="solid">
        <fgColor theme="5" tint="0.4"/>
        <bgColor indexed="64"/>
      </patternFill>
    </fill>
    <fill>
      <patternFill patternType="solid">
        <fgColor theme="0" tint="-0.15"/>
        <bgColor indexed="64"/>
      </patternFill>
    </fill>
    <fill>
      <patternFill patternType="solid">
        <fgColor theme="9"/>
        <bgColor indexed="64"/>
      </patternFill>
    </fill>
    <fill>
      <patternFill patternType="solid">
        <fgColor theme="9" tint="0.6"/>
        <bgColor indexed="64"/>
      </patternFill>
    </fill>
    <fill>
      <patternFill patternType="solid">
        <fgColor theme="9" tint="0.4"/>
        <bgColor indexed="64"/>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F4B183"/>
        <bgColor rgb="FFFF99CC"/>
      </patternFill>
    </fill>
    <fill>
      <patternFill patternType="solid">
        <fgColor rgb="FFE2F0D9"/>
        <bgColor rgb="FFF2F2F2"/>
      </patternFill>
    </fill>
    <fill>
      <patternFill patternType="solid">
        <fgColor theme="5" tint="0.4"/>
        <bgColor rgb="FFA9D18E"/>
      </patternFill>
    </fill>
    <fill>
      <patternFill patternType="solid">
        <fgColor theme="5" tint="0.4"/>
        <bgColor rgb="FFF2F2F2"/>
      </patternFill>
    </fill>
    <fill>
      <patternFill patternType="solid">
        <fgColor rgb="FFF2F2F2"/>
        <bgColor rgb="FFE2F0D9"/>
      </patternFill>
    </fill>
    <fill>
      <patternFill patternType="solid">
        <fgColor theme="6"/>
        <bgColor indexed="64"/>
      </patternFill>
    </fill>
    <fill>
      <patternFill patternType="solid">
        <fgColor theme="7" tint="0.599993896298105"/>
        <bgColor indexed="64"/>
      </patternFill>
    </fill>
    <fill>
      <patternFill patternType="solid">
        <fgColor rgb="FFA5A5A5"/>
        <bgColor indexed="64"/>
      </patternFill>
    </fill>
    <fill>
      <patternFill patternType="solid">
        <fgColor rgb="FFFFEB9C"/>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rgb="FFFFFFCC"/>
        <bgColor indexed="64"/>
      </patternFill>
    </fill>
    <fill>
      <patternFill patternType="solid">
        <fgColor rgb="FFF2F2F2"/>
        <bgColor indexed="64"/>
      </patternFill>
    </fill>
    <fill>
      <patternFill patternType="solid">
        <fgColor theme="9" tint="0.399975585192419"/>
        <bgColor indexed="64"/>
      </patternFill>
    </fill>
    <fill>
      <patternFill patternType="solid">
        <fgColor theme="7"/>
        <bgColor indexed="64"/>
      </patternFill>
    </fill>
    <fill>
      <patternFill patternType="solid">
        <fgColor theme="8" tint="0.799981688894314"/>
        <bgColor indexed="64"/>
      </patternFill>
    </fill>
    <fill>
      <patternFill patternType="solid">
        <fgColor theme="8"/>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rgb="FFFFCC99"/>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599993896298105"/>
        <bgColor indexed="64"/>
      </patternFill>
    </fill>
    <fill>
      <patternFill patternType="solid">
        <fgColor theme="4"/>
        <bgColor indexed="64"/>
      </patternFill>
    </fill>
    <fill>
      <patternFill patternType="solid">
        <fgColor rgb="FFC6EFCE"/>
        <bgColor indexed="64"/>
      </patternFill>
    </fill>
    <fill>
      <patternFill patternType="solid">
        <fgColor theme="4" tint="0.799981688894314"/>
        <bgColor indexed="64"/>
      </patternFill>
    </fill>
    <fill>
      <patternFill patternType="solid">
        <fgColor theme="5"/>
        <bgColor indexed="64"/>
      </patternFill>
    </fill>
    <fill>
      <patternFill patternType="solid">
        <fgColor theme="8" tint="0.599993896298105"/>
        <bgColor indexed="64"/>
      </patternFill>
    </fill>
    <fill>
      <patternFill patternType="solid">
        <fgColor theme="7" tint="0.399975585192419"/>
        <bgColor indexed="64"/>
      </patternFill>
    </fill>
  </fills>
  <borders count="32">
    <border>
      <left/>
      <right/>
      <top/>
      <bottom/>
      <diagonal/>
    </border>
    <border>
      <left style="thin">
        <color theme="0"/>
      </left>
      <right/>
      <top/>
      <bottom style="thick">
        <color theme="0"/>
      </bottom>
      <diagonal/>
    </border>
    <border>
      <left/>
      <right/>
      <top/>
      <bottom style="thick">
        <color theme="0"/>
      </bottom>
      <diagonal/>
    </border>
    <border>
      <left/>
      <right style="thin">
        <color theme="0"/>
      </right>
      <top/>
      <bottom style="thick">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thin">
        <color rgb="FFFFFFFF"/>
      </left>
      <right style="thin">
        <color rgb="FFFFFFFF"/>
      </right>
      <top/>
      <bottom style="thick">
        <color rgb="FFFFFFFF"/>
      </bottom>
      <diagonal/>
    </border>
    <border>
      <left/>
      <right/>
      <top style="thick">
        <color rgb="FFFFFFFF"/>
      </top>
      <bottom style="thin">
        <color rgb="FFFFFFFF"/>
      </bottom>
      <diagonal/>
    </border>
    <border>
      <left/>
      <right/>
      <top/>
      <bottom style="thin">
        <color rgb="FFFFFFFF"/>
      </bottom>
      <diagonal/>
    </border>
    <border>
      <left/>
      <right style="thin">
        <color rgb="FFFFFFFF"/>
      </right>
      <top style="thick">
        <color rgb="FFFFFFFF"/>
      </top>
      <bottom style="thin">
        <color rgb="FFFFFFFF"/>
      </bottom>
      <diagonal/>
    </border>
    <border>
      <left style="thin">
        <color rgb="FFFFFFFF"/>
      </left>
      <right style="thin">
        <color rgb="FFFFFFFF"/>
      </right>
      <top style="thick">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bottom style="thick">
        <color rgb="FFFFFFFF"/>
      </bottom>
      <diagonal/>
    </border>
    <border>
      <left style="thin">
        <color rgb="FFFFFFFF"/>
      </left>
      <right/>
      <top/>
      <bottom style="thick">
        <color rgb="FFFFFFFF"/>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style="thin">
        <color rgb="FFFFFFFF"/>
      </right>
      <top style="thin">
        <color rgb="FFFFFFFF"/>
      </top>
      <bottom/>
      <diagonal/>
    </border>
    <border>
      <left style="thin">
        <color rgb="FFFFFFFF"/>
      </left>
      <right/>
      <top/>
      <bottom/>
      <diagonal/>
    </border>
    <border>
      <left style="thin">
        <color auto="1"/>
      </left>
      <right style="thin">
        <color auto="1"/>
      </right>
      <top style="thin">
        <color auto="1"/>
      </top>
      <bottom/>
      <diagonal/>
    </border>
    <border>
      <left/>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s>
  <cellStyleXfs count="49">
    <xf numFmtId="0" fontId="0" fillId="0" borderId="0"/>
    <xf numFmtId="178" fontId="31" fillId="0" borderId="0" applyBorder="0" applyAlignment="0" applyProtection="0"/>
    <xf numFmtId="177" fontId="31" fillId="0" borderId="0" applyBorder="0" applyAlignment="0" applyProtection="0"/>
    <xf numFmtId="0" fontId="27" fillId="19" borderId="0" applyNumberFormat="0" applyBorder="0" applyAlignment="0" applyProtection="0">
      <alignment vertical="center"/>
    </xf>
    <xf numFmtId="9" fontId="0" fillId="0" borderId="0" applyBorder="0" applyProtection="0"/>
    <xf numFmtId="0" fontId="34" fillId="0" borderId="27" applyNumberFormat="0" applyFill="0" applyAlignment="0" applyProtection="0">
      <alignment vertical="center"/>
    </xf>
    <xf numFmtId="0" fontId="28" fillId="20" borderId="24" applyNumberFormat="0" applyAlignment="0" applyProtection="0">
      <alignment vertical="center"/>
    </xf>
    <xf numFmtId="180" fontId="31" fillId="0" borderId="0" applyBorder="0" applyAlignment="0" applyProtection="0"/>
    <xf numFmtId="0" fontId="27" fillId="27" borderId="0" applyNumberFormat="0" applyBorder="0" applyAlignment="0" applyProtection="0">
      <alignment vertical="center"/>
    </xf>
    <xf numFmtId="179" fontId="0" fillId="0" borderId="0" applyBorder="0" applyProtection="0"/>
    <xf numFmtId="0" fontId="36"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7" fillId="29" borderId="0" applyNumberFormat="0" applyBorder="0" applyAlignment="0" applyProtection="0">
      <alignment vertical="center"/>
    </xf>
    <xf numFmtId="0" fontId="37" fillId="30" borderId="28" applyNumberFormat="0" applyFont="0" applyAlignment="0" applyProtection="0">
      <alignment vertical="center"/>
    </xf>
    <xf numFmtId="0" fontId="27" fillId="22" borderId="0" applyNumberFormat="0" applyBorder="0" applyAlignment="0" applyProtection="0">
      <alignment vertical="center"/>
    </xf>
    <xf numFmtId="0" fontId="2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26" fillId="18" borderId="0" applyNumberFormat="0" applyBorder="0" applyAlignment="0" applyProtection="0">
      <alignment vertical="center"/>
    </xf>
    <xf numFmtId="0" fontId="35" fillId="0" borderId="25" applyNumberFormat="0" applyFill="0" applyAlignment="0" applyProtection="0">
      <alignment vertical="center"/>
    </xf>
    <xf numFmtId="0" fontId="26" fillId="33" borderId="0" applyNumberFormat="0" applyBorder="0" applyAlignment="0" applyProtection="0">
      <alignment vertical="center"/>
    </xf>
    <xf numFmtId="0" fontId="30" fillId="0" borderId="25" applyNumberFormat="0" applyFill="0" applyAlignment="0" applyProtection="0">
      <alignment vertical="center"/>
    </xf>
    <xf numFmtId="0" fontId="26" fillId="35" borderId="0" applyNumberFormat="0" applyBorder="0" applyAlignment="0" applyProtection="0">
      <alignment vertical="center"/>
    </xf>
    <xf numFmtId="0" fontId="25" fillId="0" borderId="26" applyNumberFormat="0" applyFill="0" applyAlignment="0" applyProtection="0">
      <alignment vertical="center"/>
    </xf>
    <xf numFmtId="0" fontId="26" fillId="7" borderId="0" applyNumberFormat="0" applyBorder="0" applyAlignment="0" applyProtection="0">
      <alignment vertical="center"/>
    </xf>
    <xf numFmtId="0" fontId="25" fillId="0" borderId="0" applyNumberFormat="0" applyFill="0" applyBorder="0" applyAlignment="0" applyProtection="0">
      <alignment vertical="center"/>
    </xf>
    <xf numFmtId="0" fontId="41" fillId="38" borderId="30" applyNumberFormat="0" applyAlignment="0" applyProtection="0">
      <alignment vertical="center"/>
    </xf>
    <xf numFmtId="0" fontId="38" fillId="31" borderId="29" applyNumberFormat="0" applyAlignment="0" applyProtection="0">
      <alignment vertical="center"/>
    </xf>
    <xf numFmtId="0" fontId="42" fillId="31" borderId="30" applyNumberFormat="0" applyAlignment="0" applyProtection="0">
      <alignment vertical="center"/>
    </xf>
    <xf numFmtId="0" fontId="43" fillId="0" borderId="31" applyNumberFormat="0" applyFill="0" applyAlignment="0" applyProtection="0">
      <alignment vertical="center"/>
    </xf>
    <xf numFmtId="0" fontId="27" fillId="41" borderId="0" applyNumberFormat="0" applyBorder="0" applyAlignment="0" applyProtection="0">
      <alignment vertical="center"/>
    </xf>
    <xf numFmtId="0" fontId="45" fillId="43" borderId="0" applyNumberFormat="0" applyBorder="0" applyAlignment="0" applyProtection="0">
      <alignment vertical="center"/>
    </xf>
    <xf numFmtId="0" fontId="44" fillId="40" borderId="0" applyNumberFormat="0" applyBorder="0" applyAlignment="0" applyProtection="0">
      <alignment vertical="center"/>
    </xf>
    <xf numFmtId="0" fontId="33" fillId="21" borderId="0" applyNumberFormat="0" applyBorder="0" applyAlignment="0" applyProtection="0">
      <alignment vertical="center"/>
    </xf>
    <xf numFmtId="0" fontId="27" fillId="34" borderId="0" applyNumberFormat="0" applyBorder="0" applyAlignment="0" applyProtection="0">
      <alignment vertical="center"/>
    </xf>
    <xf numFmtId="0" fontId="26" fillId="42" borderId="0" applyNumberFormat="0" applyBorder="0" applyAlignment="0" applyProtection="0">
      <alignment vertical="center"/>
    </xf>
    <xf numFmtId="0" fontId="27" fillId="44" borderId="0" applyNumberFormat="0" applyBorder="0" applyAlignment="0" applyProtection="0">
      <alignment vertical="center"/>
    </xf>
    <xf numFmtId="0" fontId="26" fillId="39" borderId="0" applyNumberFormat="0" applyBorder="0" applyAlignment="0" applyProtection="0">
      <alignment vertical="center"/>
    </xf>
    <xf numFmtId="0" fontId="27" fillId="37" borderId="0" applyNumberFormat="0" applyBorder="0" applyAlignment="0" applyProtection="0">
      <alignment vertical="center"/>
    </xf>
    <xf numFmtId="0" fontId="26" fillId="45" borderId="0" applyNumberFormat="0" applyBorder="0" applyAlignment="0" applyProtection="0">
      <alignment vertical="center"/>
    </xf>
    <xf numFmtId="0" fontId="27" fillId="25" borderId="0" applyNumberFormat="0" applyBorder="0" applyAlignment="0" applyProtection="0">
      <alignment vertical="center"/>
    </xf>
    <xf numFmtId="0" fontId="26" fillId="28" borderId="0" applyNumberFormat="0" applyBorder="0" applyAlignment="0" applyProtection="0">
      <alignment vertical="center"/>
    </xf>
    <xf numFmtId="0" fontId="27" fillId="26" borderId="0" applyNumberFormat="0" applyBorder="0" applyAlignment="0" applyProtection="0">
      <alignment vertical="center"/>
    </xf>
    <xf numFmtId="0" fontId="26" fillId="36" borderId="0" applyNumberFormat="0" applyBorder="0" applyAlignment="0" applyProtection="0">
      <alignment vertical="center"/>
    </xf>
    <xf numFmtId="0" fontId="27" fillId="24" borderId="0" applyNumberFormat="0" applyBorder="0" applyAlignment="0" applyProtection="0">
      <alignment vertical="center"/>
    </xf>
    <xf numFmtId="0" fontId="26" fillId="47" borderId="0" applyNumberFormat="0" applyBorder="0" applyAlignment="0" applyProtection="0">
      <alignment vertical="center"/>
    </xf>
    <xf numFmtId="0" fontId="27" fillId="46" borderId="0" applyNumberFormat="0" applyBorder="0" applyAlignment="0" applyProtection="0">
      <alignment vertical="center"/>
    </xf>
    <xf numFmtId="0" fontId="26" fillId="23" borderId="0" applyNumberFormat="0" applyBorder="0" applyAlignment="0" applyProtection="0">
      <alignment vertical="center"/>
    </xf>
    <xf numFmtId="0" fontId="26" fillId="32" borderId="0" applyNumberFormat="0" applyBorder="0" applyAlignment="0" applyProtection="0">
      <alignment vertical="center"/>
    </xf>
  </cellStyleXfs>
  <cellXfs count="203">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Alignment="1">
      <alignment horizontal="justify" vertical="center" wrapText="1"/>
    </xf>
    <xf numFmtId="176" fontId="2" fillId="0" borderId="0" xfId="0" applyNumberFormat="1" applyFont="1" applyFill="1" applyAlignment="1">
      <alignment horizontal="center" vertical="center"/>
    </xf>
    <xf numFmtId="0" fontId="2" fillId="0" borderId="0" xfId="0" applyFont="1" applyFill="1" applyAlignment="1">
      <alignment vertical="center"/>
    </xf>
    <xf numFmtId="0" fontId="3" fillId="0" borderId="0" xfId="0" applyFont="1"/>
    <xf numFmtId="0" fontId="4" fillId="3" borderId="0" xfId="0" applyFont="1" applyFill="1" applyAlignment="1">
      <alignment horizontal="center" vertical="center"/>
    </xf>
    <xf numFmtId="0" fontId="5" fillId="3" borderId="0" xfId="0" applyFont="1" applyFill="1" applyAlignment="1">
      <alignment horizontal="center" vertical="center"/>
    </xf>
    <xf numFmtId="0" fontId="6" fillId="4" borderId="0" xfId="0" applyFont="1" applyFill="1" applyAlignment="1">
      <alignment horizontal="center" vertical="center" wrapText="1"/>
    </xf>
    <xf numFmtId="0" fontId="7" fillId="4" borderId="0" xfId="0" applyFont="1" applyFill="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justify" vertical="center" wrapText="1"/>
    </xf>
    <xf numFmtId="181" fontId="0" fillId="5" borderId="0" xfId="0" applyNumberFormat="1" applyFill="1" applyAlignment="1">
      <alignment horizontal="center" vertical="center"/>
    </xf>
    <xf numFmtId="181" fontId="0" fillId="0" borderId="0" xfId="0" applyNumberFormat="1" applyAlignment="1">
      <alignment horizontal="center" vertical="center"/>
    </xf>
    <xf numFmtId="0" fontId="7" fillId="0" borderId="0" xfId="0" applyFont="1" applyAlignment="1">
      <alignment horizontal="justify" vertical="center"/>
    </xf>
    <xf numFmtId="0" fontId="6" fillId="3" borderId="0" xfId="0" applyFont="1" applyFill="1" applyAlignment="1">
      <alignment horizontal="center"/>
    </xf>
    <xf numFmtId="0" fontId="7" fillId="3" borderId="0" xfId="0" applyFont="1" applyFill="1" applyAlignment="1">
      <alignment horizontal="center"/>
    </xf>
    <xf numFmtId="181" fontId="6" fillId="3" borderId="0" xfId="0" applyNumberFormat="1" applyFont="1" applyFill="1" applyAlignment="1">
      <alignment horizontal="center"/>
    </xf>
    <xf numFmtId="0" fontId="0" fillId="0" borderId="0" xfId="0" applyFont="1"/>
    <xf numFmtId="0" fontId="9" fillId="3" borderId="0" xfId="0" applyFont="1" applyFill="1" applyAlignment="1">
      <alignment horizontal="center"/>
    </xf>
    <xf numFmtId="0" fontId="1" fillId="3" borderId="0" xfId="0" applyFont="1" applyFill="1" applyAlignment="1">
      <alignment horizontal="center"/>
    </xf>
    <xf numFmtId="0" fontId="10" fillId="6" borderId="0" xfId="0" applyFont="1" applyFill="1" applyAlignment="1">
      <alignment horizontal="center" vertical="center"/>
    </xf>
    <xf numFmtId="0" fontId="11" fillId="6" borderId="0" xfId="0" applyFont="1" applyFill="1" applyAlignment="1">
      <alignment horizontal="center" vertical="center"/>
    </xf>
    <xf numFmtId="0" fontId="12" fillId="6" borderId="0" xfId="0" applyFont="1" applyFill="1" applyAlignment="1">
      <alignment horizontal="center" vertical="center"/>
    </xf>
    <xf numFmtId="0" fontId="10" fillId="6" borderId="0" xfId="0" applyFont="1" applyFill="1" applyAlignment="1">
      <alignment horizontal="center" vertical="center" wrapText="1"/>
    </xf>
    <xf numFmtId="0" fontId="2" fillId="0" borderId="0" xfId="0" applyFont="1" applyFill="1" applyAlignment="1">
      <alignment horizontal="center"/>
    </xf>
    <xf numFmtId="0" fontId="2" fillId="0" borderId="0" xfId="0" applyFont="1" applyFill="1" applyAlignment="1">
      <alignment wrapText="1"/>
    </xf>
    <xf numFmtId="182" fontId="2" fillId="0" borderId="0" xfId="0" applyNumberFormat="1" applyFont="1" applyFill="1" applyAlignment="1">
      <alignment horizontal="center" vertical="center"/>
    </xf>
    <xf numFmtId="0" fontId="13" fillId="7" borderId="4" xfId="0" applyFont="1" applyFill="1" applyBorder="1" applyAlignment="1">
      <alignment horizontal="center"/>
    </xf>
    <xf numFmtId="0" fontId="13" fillId="7" borderId="5" xfId="0" applyFont="1" applyFill="1" applyBorder="1" applyAlignment="1">
      <alignment horizontal="center"/>
    </xf>
    <xf numFmtId="0" fontId="13" fillId="7" borderId="6" xfId="0" applyFont="1" applyFill="1" applyBorder="1" applyAlignment="1">
      <alignment horizontal="center"/>
    </xf>
    <xf numFmtId="182" fontId="13" fillId="7" borderId="7" xfId="0" applyNumberFormat="1" applyFont="1" applyFill="1" applyBorder="1" applyAlignment="1">
      <alignment horizontal="center"/>
    </xf>
    <xf numFmtId="0" fontId="13" fillId="7" borderId="8" xfId="0" applyFont="1" applyFill="1" applyBorder="1" applyAlignment="1">
      <alignment horizontal="center"/>
    </xf>
    <xf numFmtId="182" fontId="13" fillId="7" borderId="8" xfId="0" applyNumberFormat="1" applyFont="1" applyFill="1" applyBorder="1" applyAlignment="1">
      <alignment horizontal="center"/>
    </xf>
    <xf numFmtId="0" fontId="13" fillId="7" borderId="8" xfId="0" applyNumberFormat="1" applyFont="1" applyFill="1" applyBorder="1" applyAlignment="1">
      <alignment horizontal="center"/>
    </xf>
    <xf numFmtId="0" fontId="2" fillId="0" borderId="0" xfId="0" applyFont="1" applyFill="1" applyAlignment="1"/>
    <xf numFmtId="0" fontId="1" fillId="0" borderId="0" xfId="0" applyFont="1" applyFill="1" applyAlignment="1">
      <alignment horizontal="justify" wrapText="1"/>
    </xf>
    <xf numFmtId="0" fontId="2" fillId="0" borderId="0" xfId="0" applyFont="1" applyFill="1" applyAlignment="1">
      <alignment horizontal="justify" wrapText="1"/>
    </xf>
    <xf numFmtId="0" fontId="4" fillId="3" borderId="0" xfId="0" applyFont="1" applyFill="1" applyAlignment="1">
      <alignment horizontal="center"/>
    </xf>
    <xf numFmtId="0" fontId="14" fillId="4" borderId="0" xfId="0" applyFont="1" applyFill="1" applyAlignment="1">
      <alignment horizontal="center" vertical="center" wrapText="1"/>
    </xf>
    <xf numFmtId="0" fontId="15" fillId="0" borderId="0" xfId="0" applyFont="1" applyAlignment="1">
      <alignment horizontal="center" vertical="center" wrapText="1"/>
    </xf>
    <xf numFmtId="0" fontId="4" fillId="0" borderId="0" xfId="0" applyFont="1" applyAlignment="1">
      <alignment horizontal="center" wrapText="1"/>
    </xf>
    <xf numFmtId="0" fontId="12" fillId="0" borderId="0" xfId="0" applyFont="1" applyAlignment="1">
      <alignment horizontal="justify" wrapText="1"/>
    </xf>
    <xf numFmtId="0" fontId="12" fillId="0" borderId="0" xfId="0" applyFont="1" applyAlignment="1">
      <alignment horizontal="center" vertical="center" wrapText="1"/>
    </xf>
    <xf numFmtId="0" fontId="12" fillId="0" borderId="0" xfId="0" applyFont="1" applyAlignment="1">
      <alignment horizontal="center" wrapText="1"/>
    </xf>
    <xf numFmtId="0" fontId="6" fillId="3" borderId="0" xfId="0" applyFont="1" applyFill="1" applyAlignment="1">
      <alignment horizontal="center" vertical="center"/>
    </xf>
    <xf numFmtId="181" fontId="6" fillId="3" borderId="0" xfId="0" applyNumberFormat="1" applyFont="1" applyFill="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16" fillId="7" borderId="0" xfId="0" applyFont="1" applyFill="1" applyBorder="1" applyAlignment="1">
      <alignment horizontal="center"/>
    </xf>
    <xf numFmtId="0" fontId="16" fillId="7" borderId="0" xfId="0" applyFont="1" applyFill="1" applyBorder="1" applyAlignment="1">
      <alignment horizontal="center" vertical="center" wrapText="1"/>
    </xf>
    <xf numFmtId="0" fontId="16" fillId="7" borderId="0" xfId="0" applyFont="1" applyFill="1" applyBorder="1" applyAlignment="1">
      <alignment horizontal="center" vertical="center"/>
    </xf>
    <xf numFmtId="0" fontId="5" fillId="8" borderId="0" xfId="0" applyFont="1" applyFill="1" applyAlignment="1">
      <alignment horizontal="center"/>
    </xf>
    <xf numFmtId="0" fontId="5" fillId="8" borderId="0" xfId="0" applyFont="1" applyFill="1" applyAlignment="1">
      <alignment horizontal="center" vertical="center" wrapText="1"/>
    </xf>
    <xf numFmtId="0" fontId="5" fillId="8" borderId="0" xfId="0" applyFont="1" applyFill="1" applyAlignment="1">
      <alignment horizontal="center" vertical="center"/>
    </xf>
    <xf numFmtId="0" fontId="7" fillId="9" borderId="0" xfId="0" applyFont="1" applyFill="1" applyAlignment="1">
      <alignment horizontal="center" vertical="center" wrapText="1"/>
    </xf>
    <xf numFmtId="0" fontId="17" fillId="0" borderId="0" xfId="0" applyFont="1" applyAlignment="1">
      <alignment horizontal="center" vertical="center" wrapText="1"/>
    </xf>
    <xf numFmtId="0" fontId="18" fillId="0" borderId="0" xfId="0" applyFont="1" applyAlignment="1">
      <alignment horizontal="justify" wrapText="1"/>
    </xf>
    <xf numFmtId="181" fontId="17" fillId="5" borderId="0" xfId="0" applyNumberFormat="1" applyFont="1" applyFill="1" applyAlignment="1">
      <alignment horizontal="center" vertical="center" wrapText="1"/>
    </xf>
    <xf numFmtId="181" fontId="17" fillId="0" borderId="0" xfId="0" applyNumberFormat="1" applyFont="1" applyAlignment="1">
      <alignment horizontal="center" vertical="center" wrapText="1"/>
    </xf>
    <xf numFmtId="0" fontId="18" fillId="0" borderId="0" xfId="0" applyFont="1" applyAlignment="1">
      <alignment horizontal="center" vertical="center" wrapText="1"/>
    </xf>
    <xf numFmtId="0" fontId="18" fillId="0" borderId="0" xfId="0" applyFont="1" applyAlignment="1">
      <alignment horizontal="justify" vertical="center" wrapText="1"/>
    </xf>
    <xf numFmtId="0" fontId="12" fillId="0" borderId="0" xfId="0" applyFont="1" applyAlignment="1">
      <alignment horizontal="justify" vertical="center" wrapText="1"/>
    </xf>
    <xf numFmtId="0" fontId="19" fillId="10" borderId="9" xfId="0" applyFont="1" applyFill="1" applyBorder="1" applyAlignment="1">
      <alignment horizontal="center" vertical="center"/>
    </xf>
    <xf numFmtId="0" fontId="19" fillId="10" borderId="9" xfId="0" applyFont="1" applyFill="1" applyBorder="1" applyAlignment="1">
      <alignment horizontal="center"/>
    </xf>
    <xf numFmtId="0" fontId="7" fillId="11" borderId="10" xfId="0" applyFont="1" applyFill="1" applyBorder="1" applyAlignment="1">
      <alignment horizontal="justify" vertical="center" wrapText="1"/>
    </xf>
    <xf numFmtId="0" fontId="7" fillId="11" borderId="10" xfId="0" applyFont="1" applyFill="1" applyBorder="1" applyAlignment="1">
      <alignment horizontal="justify" wrapText="1"/>
    </xf>
    <xf numFmtId="0" fontId="7" fillId="12" borderId="0" xfId="0" applyFont="1" applyFill="1" applyBorder="1" applyAlignment="1">
      <alignment horizontal="center" vertical="center" wrapText="1"/>
    </xf>
    <xf numFmtId="49" fontId="0" fillId="12" borderId="0" xfId="0" applyNumberFormat="1" applyFont="1" applyFill="1" applyBorder="1" applyAlignment="1">
      <alignment horizontal="left"/>
    </xf>
    <xf numFmtId="0" fontId="0" fillId="12" borderId="0" xfId="0" applyFont="1" applyFill="1" applyBorder="1" applyAlignment="1">
      <alignment horizontal="left"/>
    </xf>
    <xf numFmtId="0" fontId="7" fillId="0" borderId="0" xfId="0" applyFont="1" applyBorder="1" applyAlignment="1">
      <alignment horizontal="center" vertical="center" wrapText="1"/>
    </xf>
    <xf numFmtId="0" fontId="0" fillId="0" borderId="0" xfId="0" applyFont="1" applyBorder="1" applyAlignment="1">
      <alignment horizontal="left"/>
    </xf>
    <xf numFmtId="0" fontId="20" fillId="10" borderId="11" xfId="0" applyFont="1" applyFill="1" applyBorder="1" applyAlignment="1">
      <alignment horizontal="center" vertical="center"/>
    </xf>
    <xf numFmtId="0" fontId="20" fillId="10" borderId="11" xfId="0" applyFont="1" applyFill="1" applyBorder="1" applyAlignment="1">
      <alignment horizontal="center"/>
    </xf>
    <xf numFmtId="0" fontId="0" fillId="11" borderId="12" xfId="0" applyFont="1" applyFill="1" applyBorder="1" applyAlignment="1">
      <alignment horizontal="center" vertical="center"/>
    </xf>
    <xf numFmtId="0" fontId="0" fillId="11" borderId="13" xfId="0" applyFont="1" applyFill="1" applyBorder="1"/>
    <xf numFmtId="0" fontId="0" fillId="13" borderId="13" xfId="0" applyFont="1" applyFill="1" applyBorder="1" applyAlignment="1">
      <alignment horizontal="center"/>
    </xf>
    <xf numFmtId="0" fontId="0" fillId="14" borderId="14" xfId="0" applyFont="1" applyFill="1" applyBorder="1" applyAlignment="1">
      <alignment horizontal="center" vertical="center"/>
    </xf>
    <xf numFmtId="0" fontId="0" fillId="14" borderId="15" xfId="0" applyFont="1" applyFill="1" applyBorder="1"/>
    <xf numFmtId="0" fontId="0" fillId="13" borderId="15" xfId="0" applyFont="1" applyFill="1" applyBorder="1" applyAlignment="1">
      <alignment horizontal="center"/>
    </xf>
    <xf numFmtId="0" fontId="0" fillId="11" borderId="14" xfId="0" applyFont="1" applyFill="1" applyBorder="1" applyAlignment="1">
      <alignment horizontal="center" vertical="center"/>
    </xf>
    <xf numFmtId="0" fontId="0" fillId="11" borderId="15" xfId="0" applyFont="1" applyFill="1" applyBorder="1"/>
    <xf numFmtId="0" fontId="20" fillId="10" borderId="9" xfId="0" applyFont="1" applyFill="1" applyBorder="1" applyAlignment="1">
      <alignment horizontal="center" vertical="center"/>
    </xf>
    <xf numFmtId="0" fontId="20" fillId="10" borderId="9" xfId="0" applyFont="1" applyFill="1" applyBorder="1" applyAlignment="1">
      <alignment horizontal="center"/>
    </xf>
    <xf numFmtId="0" fontId="20" fillId="10" borderId="16" xfId="0" applyFont="1" applyFill="1" applyBorder="1" applyAlignment="1">
      <alignment horizontal="center" vertical="center" wrapText="1"/>
    </xf>
    <xf numFmtId="0" fontId="20" fillId="10" borderId="16" xfId="0" applyFont="1" applyFill="1" applyBorder="1" applyAlignment="1">
      <alignment horizontal="center" wrapText="1"/>
    </xf>
    <xf numFmtId="0" fontId="20" fillId="10" borderId="17" xfId="0" applyFont="1" applyFill="1" applyBorder="1" applyAlignment="1">
      <alignment horizontal="center"/>
    </xf>
    <xf numFmtId="0" fontId="0" fillId="11" borderId="15" xfId="0" applyFont="1" applyFill="1" applyBorder="1" applyAlignment="1">
      <alignment horizontal="center" vertical="center"/>
    </xf>
    <xf numFmtId="0" fontId="0" fillId="11" borderId="15" xfId="0" applyFont="1" applyFill="1" applyBorder="1" applyAlignment="1">
      <alignment horizontal="center"/>
    </xf>
    <xf numFmtId="0" fontId="0" fillId="13" borderId="18" xfId="0" applyFont="1" applyFill="1" applyBorder="1" applyAlignment="1">
      <alignment horizontal="center"/>
    </xf>
    <xf numFmtId="0" fontId="0" fillId="14" borderId="15" xfId="0" applyFont="1" applyFill="1" applyBorder="1" applyAlignment="1">
      <alignment horizontal="center" vertical="center"/>
    </xf>
    <xf numFmtId="0" fontId="0" fillId="14" borderId="15" xfId="0" applyFont="1" applyFill="1" applyBorder="1" applyAlignment="1">
      <alignment horizontal="center"/>
    </xf>
    <xf numFmtId="183" fontId="0" fillId="13" borderId="18" xfId="0" applyNumberFormat="1" applyFont="1" applyFill="1" applyBorder="1" applyAlignment="1">
      <alignment horizontal="center"/>
    </xf>
    <xf numFmtId="0" fontId="7" fillId="0" borderId="0" xfId="0" applyFont="1" applyBorder="1" applyAlignment="1">
      <alignment horizontal="center"/>
    </xf>
    <xf numFmtId="0" fontId="0" fillId="0" borderId="0" xfId="0" applyFont="1" applyAlignment="1">
      <alignment horizontal="center" vertical="center"/>
    </xf>
    <xf numFmtId="0" fontId="0" fillId="0" borderId="0" xfId="0" applyFont="1" applyAlignment="1">
      <alignment horizontal="center"/>
    </xf>
    <xf numFmtId="0" fontId="0" fillId="13" borderId="0" xfId="0" applyFill="1" applyAlignment="1">
      <alignment horizontal="center"/>
    </xf>
    <xf numFmtId="183" fontId="0" fillId="13" borderId="0" xfId="0" applyNumberFormat="1" applyFill="1" applyAlignment="1">
      <alignment horizontal="center"/>
    </xf>
    <xf numFmtId="0" fontId="0" fillId="13" borderId="0" xfId="0" applyFont="1" applyFill="1" applyAlignment="1">
      <alignment horizontal="center"/>
    </xf>
    <xf numFmtId="49" fontId="0" fillId="13" borderId="0" xfId="0" applyNumberFormat="1" applyFont="1" applyFill="1" applyAlignment="1">
      <alignment horizontal="center"/>
    </xf>
    <xf numFmtId="10" fontId="0" fillId="0" borderId="0" xfId="0" applyNumberFormat="1"/>
    <xf numFmtId="183" fontId="0" fillId="0" borderId="0" xfId="0" applyNumberFormat="1" applyAlignment="1">
      <alignment horizontal="center"/>
    </xf>
    <xf numFmtId="0" fontId="21" fillId="0" borderId="0" xfId="0" applyFont="1"/>
    <xf numFmtId="0" fontId="20" fillId="10" borderId="0" xfId="0" applyFont="1" applyFill="1" applyBorder="1" applyAlignment="1">
      <alignment horizontal="center" vertical="center"/>
    </xf>
    <xf numFmtId="0" fontId="20" fillId="10" borderId="0" xfId="0" applyFont="1" applyFill="1" applyBorder="1" applyAlignment="1">
      <alignment horizontal="center"/>
    </xf>
    <xf numFmtId="0" fontId="7" fillId="0" borderId="0" xfId="0" applyFont="1" applyBorder="1" applyAlignment="1">
      <alignment horizontal="center" vertical="center"/>
    </xf>
    <xf numFmtId="10" fontId="0" fillId="0" borderId="0" xfId="4" applyNumberFormat="1" applyFont="1" applyBorder="1" applyAlignment="1" applyProtection="1">
      <alignment horizontal="center"/>
    </xf>
    <xf numFmtId="0" fontId="0" fillId="0" borderId="0" xfId="0" applyAlignment="1"/>
    <xf numFmtId="0" fontId="7" fillId="11" borderId="13" xfId="0" applyFont="1" applyFill="1" applyBorder="1" applyAlignment="1">
      <alignment horizontal="center" vertical="center"/>
    </xf>
    <xf numFmtId="184" fontId="0" fillId="13" borderId="19" xfId="0" applyNumberFormat="1" applyFont="1" applyFill="1" applyBorder="1" applyAlignment="1">
      <alignment horizontal="center" vertical="center"/>
    </xf>
    <xf numFmtId="0" fontId="7" fillId="14" borderId="19" xfId="0" applyFont="1" applyFill="1" applyBorder="1" applyAlignment="1">
      <alignment horizontal="center" vertical="center"/>
    </xf>
    <xf numFmtId="184" fontId="7" fillId="13" borderId="19" xfId="0" applyNumberFormat="1" applyFont="1" applyFill="1" applyBorder="1" applyAlignment="1">
      <alignment horizontal="center" vertical="center"/>
    </xf>
    <xf numFmtId="10" fontId="0" fillId="0" borderId="0" xfId="0" applyNumberFormat="1" applyAlignment="1">
      <alignment horizontal="center"/>
    </xf>
    <xf numFmtId="10" fontId="0" fillId="13" borderId="0" xfId="4" applyNumberFormat="1" applyFont="1" applyFill="1" applyBorder="1" applyAlignment="1" applyProtection="1">
      <alignment horizontal="center"/>
    </xf>
    <xf numFmtId="183" fontId="0" fillId="13" borderId="0" xfId="0" applyNumberFormat="1" applyFont="1" applyFill="1" applyAlignment="1">
      <alignment horizontal="center"/>
    </xf>
    <xf numFmtId="0" fontId="0" fillId="0" borderId="0" xfId="0" applyFont="1" applyAlignment="1">
      <alignment vertical="center"/>
    </xf>
    <xf numFmtId="183" fontId="0" fillId="13" borderId="0" xfId="0" applyNumberFormat="1" applyFill="1" applyAlignment="1">
      <alignment horizontal="center" vertical="center"/>
    </xf>
    <xf numFmtId="183" fontId="0" fillId="0" borderId="0" xfId="0" applyNumberFormat="1" applyFont="1" applyAlignment="1">
      <alignment horizontal="left" vertical="center"/>
    </xf>
    <xf numFmtId="10" fontId="0" fillId="0" borderId="0" xfId="4" applyNumberFormat="1" applyFont="1" applyBorder="1" applyAlignment="1" applyProtection="1">
      <alignment horizontal="center" vertical="center"/>
    </xf>
    <xf numFmtId="0" fontId="0" fillId="0" borderId="0" xfId="0" applyFont="1" applyAlignment="1">
      <alignment wrapText="1"/>
    </xf>
    <xf numFmtId="10" fontId="0" fillId="13" borderId="0" xfId="4" applyNumberFormat="1" applyFont="1" applyFill="1" applyBorder="1" applyAlignment="1" applyProtection="1">
      <alignment horizontal="center" vertical="center"/>
    </xf>
    <xf numFmtId="0" fontId="20" fillId="10" borderId="0" xfId="0" applyFont="1" applyFill="1" applyBorder="1" applyAlignment="1">
      <alignment horizontal="center" vertical="center" wrapText="1"/>
    </xf>
    <xf numFmtId="0" fontId="20" fillId="10" borderId="0" xfId="0" applyFont="1" applyFill="1" applyBorder="1" applyAlignment="1">
      <alignment horizontal="center" wrapText="1"/>
    </xf>
    <xf numFmtId="185" fontId="0" fillId="13" borderId="0" xfId="0" applyNumberFormat="1" applyFill="1" applyAlignment="1">
      <alignment horizontal="center"/>
    </xf>
    <xf numFmtId="0" fontId="0" fillId="0" borderId="0" xfId="0" applyAlignment="1">
      <alignment vertical="center" wrapText="1"/>
    </xf>
    <xf numFmtId="0" fontId="22" fillId="0" borderId="0" xfId="0" applyFont="1" applyAlignment="1">
      <alignment horizontal="center" vertical="center" wrapText="1"/>
    </xf>
    <xf numFmtId="183" fontId="22" fillId="0" borderId="0" xfId="0" applyNumberFormat="1" applyFont="1" applyAlignment="1">
      <alignment vertical="center"/>
    </xf>
    <xf numFmtId="0" fontId="22" fillId="0" borderId="0" xfId="0" applyFont="1" applyAlignment="1">
      <alignment horizontal="center"/>
    </xf>
    <xf numFmtId="183" fontId="22" fillId="0" borderId="0" xfId="0" applyNumberFormat="1" applyFont="1" applyAlignment="1">
      <alignment horizontal="center"/>
    </xf>
    <xf numFmtId="183" fontId="23" fillId="13" borderId="0" xfId="0" applyNumberFormat="1" applyFont="1" applyFill="1" applyAlignment="1">
      <alignment horizontal="center"/>
    </xf>
    <xf numFmtId="183" fontId="0" fillId="0" borderId="0" xfId="0" applyNumberFormat="1" applyAlignment="1">
      <alignment horizontal="center" vertical="center"/>
    </xf>
    <xf numFmtId="0" fontId="20" fillId="10" borderId="17" xfId="0" applyFont="1" applyFill="1" applyBorder="1" applyAlignment="1">
      <alignment horizontal="center" vertical="center"/>
    </xf>
    <xf numFmtId="0" fontId="20" fillId="10" borderId="17" xfId="0" applyFont="1" applyFill="1" applyBorder="1" applyAlignment="1">
      <alignment horizontal="center" vertical="center" wrapText="1"/>
    </xf>
    <xf numFmtId="183" fontId="17" fillId="13" borderId="0" xfId="0" applyNumberFormat="1" applyFont="1" applyFill="1" applyAlignment="1">
      <alignment horizontal="center"/>
    </xf>
    <xf numFmtId="0" fontId="0" fillId="11" borderId="13" xfId="0" applyFont="1" applyFill="1" applyBorder="1" applyAlignment="1">
      <alignment horizontal="left" vertical="center"/>
    </xf>
    <xf numFmtId="0" fontId="0" fillId="11" borderId="13" xfId="0" applyFont="1" applyFill="1" applyBorder="1" applyAlignment="1">
      <alignment horizontal="center" vertical="center"/>
    </xf>
    <xf numFmtId="181" fontId="0" fillId="15" borderId="13" xfId="0" applyNumberFormat="1" applyFont="1" applyFill="1" applyBorder="1" applyAlignment="1">
      <alignment horizontal="center" vertical="center"/>
    </xf>
    <xf numFmtId="0" fontId="0" fillId="14" borderId="20" xfId="0" applyFont="1" applyFill="1" applyBorder="1" applyAlignment="1">
      <alignment horizontal="left" vertical="center"/>
    </xf>
    <xf numFmtId="0" fontId="0" fillId="14" borderId="20" xfId="0" applyFont="1" applyFill="1" applyBorder="1" applyAlignment="1">
      <alignment horizontal="center" vertical="center"/>
    </xf>
    <xf numFmtId="181" fontId="0" fillId="16" borderId="19" xfId="0" applyNumberFormat="1" applyFont="1" applyFill="1" applyBorder="1" applyAlignment="1">
      <alignment horizontal="center" vertical="center"/>
    </xf>
    <xf numFmtId="0" fontId="4" fillId="11" borderId="21" xfId="0" applyFont="1" applyFill="1" applyBorder="1" applyAlignment="1">
      <alignment horizontal="center" vertical="center"/>
    </xf>
    <xf numFmtId="0" fontId="4" fillId="11" borderId="0" xfId="0" applyFont="1" applyFill="1" applyAlignment="1">
      <alignment horizontal="center" vertical="center"/>
    </xf>
    <xf numFmtId="181" fontId="4" fillId="11" borderId="21" xfId="0" applyNumberFormat="1" applyFont="1" applyFill="1" applyBorder="1" applyAlignment="1">
      <alignment horizontal="center" vertical="center"/>
    </xf>
    <xf numFmtId="0" fontId="0" fillId="0" borderId="0" xfId="0" applyAlignment="1">
      <alignment horizontal="justify" wrapText="1"/>
    </xf>
    <xf numFmtId="183" fontId="17" fillId="0" borderId="0" xfId="0" applyNumberFormat="1" applyFont="1" applyAlignment="1">
      <alignment horizontal="center"/>
    </xf>
    <xf numFmtId="181" fontId="4" fillId="11" borderId="0" xfId="0" applyNumberFormat="1" applyFont="1" applyFill="1" applyAlignment="1">
      <alignment horizontal="center" vertical="center"/>
    </xf>
    <xf numFmtId="0" fontId="0" fillId="14" borderId="19" xfId="0" applyFont="1" applyFill="1" applyBorder="1" applyAlignment="1">
      <alignment horizontal="left" vertical="center"/>
    </xf>
    <xf numFmtId="184" fontId="0" fillId="13" borderId="0" xfId="0" applyNumberFormat="1" applyFill="1" applyAlignment="1">
      <alignment horizontal="center"/>
    </xf>
    <xf numFmtId="186" fontId="0" fillId="13" borderId="0" xfId="0" applyNumberFormat="1" applyFill="1" applyAlignment="1">
      <alignment horizontal="center" vertical="center"/>
    </xf>
    <xf numFmtId="0" fontId="0" fillId="0" borderId="0" xfId="0" applyAlignment="1">
      <alignment horizontal="center"/>
    </xf>
    <xf numFmtId="0" fontId="0" fillId="0" borderId="0" xfId="0" applyFont="1" applyAlignment="1">
      <alignment horizontal="right"/>
    </xf>
    <xf numFmtId="0" fontId="24" fillId="10" borderId="0" xfId="0" applyFont="1" applyFill="1" applyAlignment="1">
      <alignment horizontal="center" vertical="center"/>
    </xf>
    <xf numFmtId="0" fontId="20" fillId="10" borderId="0" xfId="0" applyFont="1" applyFill="1" applyAlignment="1">
      <alignment horizontal="center" vertical="center"/>
    </xf>
    <xf numFmtId="0" fontId="24" fillId="10" borderId="0" xfId="0" applyFont="1" applyFill="1"/>
    <xf numFmtId="183" fontId="20" fillId="10" borderId="0" xfId="0" applyNumberFormat="1" applyFont="1" applyFill="1" applyAlignment="1">
      <alignment horizontal="center"/>
    </xf>
    <xf numFmtId="184" fontId="0" fillId="13" borderId="0" xfId="0" applyNumberFormat="1" applyFill="1" applyAlignment="1">
      <alignment horizontal="center" vertical="center"/>
    </xf>
    <xf numFmtId="0" fontId="0" fillId="0" borderId="0" xfId="0" applyFont="1" applyAlignment="1">
      <alignment horizontal="justify"/>
    </xf>
    <xf numFmtId="0" fontId="0" fillId="0" borderId="0" xfId="0" applyAlignment="1">
      <alignment horizontal="justify"/>
    </xf>
    <xf numFmtId="0" fontId="0" fillId="0" borderId="0" xfId="0" applyFont="1" applyAlignment="1">
      <alignment horizontal="justify" wrapText="1"/>
    </xf>
    <xf numFmtId="0" fontId="7" fillId="12" borderId="0" xfId="0" applyFont="1" applyFill="1" applyBorder="1" applyAlignment="1">
      <alignment horizontal="justify" vertical="center" wrapText="1"/>
    </xf>
    <xf numFmtId="176" fontId="0" fillId="0" borderId="0" xfId="0" applyNumberFormat="1" applyAlignment="1">
      <alignment horizontal="center" vertical="center"/>
    </xf>
    <xf numFmtId="0" fontId="0" fillId="0" borderId="0" xfId="0" applyAlignment="1">
      <alignment vertical="center"/>
    </xf>
    <xf numFmtId="0" fontId="7" fillId="11" borderId="10" xfId="0" applyFont="1" applyFill="1" applyBorder="1" applyAlignment="1">
      <alignment horizontal="left" vertical="center" wrapText="1"/>
    </xf>
    <xf numFmtId="0" fontId="7" fillId="11" borderId="10" xfId="0" applyFont="1" applyFill="1" applyBorder="1" applyAlignment="1">
      <alignment horizontal="left" wrapText="1"/>
    </xf>
    <xf numFmtId="0" fontId="7" fillId="12" borderId="0" xfId="0" applyFont="1" applyFill="1" applyBorder="1" applyAlignment="1">
      <alignment horizontal="left" vertical="center" wrapText="1"/>
    </xf>
    <xf numFmtId="0" fontId="7" fillId="0" borderId="0" xfId="0" applyFont="1" applyBorder="1" applyAlignment="1">
      <alignment horizontal="left" vertical="center" wrapText="1"/>
    </xf>
    <xf numFmtId="176" fontId="0" fillId="13" borderId="0" xfId="0" applyNumberFormat="1" applyFill="1" applyAlignment="1">
      <alignment horizontal="center" vertical="center"/>
    </xf>
    <xf numFmtId="176" fontId="0" fillId="5" borderId="0" xfId="0" applyNumberFormat="1" applyFill="1" applyAlignment="1">
      <alignment horizontal="center" vertical="center"/>
    </xf>
    <xf numFmtId="183" fontId="22" fillId="0" borderId="0" xfId="0" applyNumberFormat="1" applyFont="1" applyAlignment="1">
      <alignment vertical="center" wrapText="1"/>
    </xf>
    <xf numFmtId="183" fontId="22" fillId="0" borderId="0" xfId="0" applyNumberFormat="1" applyFont="1" applyAlignment="1">
      <alignment horizontal="center" wrapText="1"/>
    </xf>
    <xf numFmtId="184" fontId="0" fillId="13" borderId="0" xfId="0" applyNumberFormat="1" applyFill="1"/>
    <xf numFmtId="0" fontId="24" fillId="10" borderId="0" xfId="0" applyFont="1" applyFill="1" applyAlignment="1">
      <alignment vertical="center"/>
    </xf>
    <xf numFmtId="0" fontId="17" fillId="0" borderId="0" xfId="0" applyFont="1"/>
    <xf numFmtId="0" fontId="17" fillId="0" borderId="0" xfId="0" applyFont="1" applyAlignment="1">
      <alignment wrapText="1"/>
    </xf>
    <xf numFmtId="10" fontId="17" fillId="0" borderId="0" xfId="4" applyNumberFormat="1" applyFont="1" applyBorder="1" applyAlignment="1" applyProtection="1">
      <alignment horizontal="center" vertical="center"/>
    </xf>
    <xf numFmtId="10" fontId="17" fillId="13" borderId="0" xfId="4" applyNumberFormat="1" applyFont="1" applyFill="1" applyBorder="1" applyAlignment="1" applyProtection="1">
      <alignment horizontal="center"/>
    </xf>
    <xf numFmtId="183" fontId="17" fillId="13" borderId="0" xfId="0" applyNumberFormat="1" applyFont="1" applyFill="1" applyAlignment="1">
      <alignment horizontal="center" vertical="center"/>
    </xf>
    <xf numFmtId="10" fontId="17" fillId="13" borderId="0" xfId="4" applyNumberFormat="1" applyFont="1" applyFill="1" applyBorder="1" applyAlignment="1" applyProtection="1">
      <alignment horizontal="center" vertical="center"/>
    </xf>
    <xf numFmtId="185" fontId="17" fillId="13" borderId="0" xfId="0" applyNumberFormat="1" applyFont="1" applyFill="1" applyAlignment="1">
      <alignment horizontal="center"/>
    </xf>
    <xf numFmtId="181" fontId="17" fillId="13" borderId="0" xfId="0" applyNumberFormat="1" applyFont="1" applyFill="1" applyAlignment="1">
      <alignment horizontal="center"/>
    </xf>
    <xf numFmtId="0" fontId="7" fillId="0" borderId="22" xfId="0" applyFont="1" applyBorder="1" applyAlignment="1">
      <alignment horizontal="center"/>
    </xf>
    <xf numFmtId="179" fontId="0" fillId="13" borderId="0" xfId="9" applyFont="1" applyFill="1" applyBorder="1" applyAlignment="1" applyProtection="1">
      <alignment horizontal="center"/>
    </xf>
    <xf numFmtId="187" fontId="0" fillId="13" borderId="0" xfId="0" applyNumberFormat="1" applyFill="1" applyAlignment="1">
      <alignment horizontal="center"/>
    </xf>
    <xf numFmtId="9" fontId="0" fillId="13" borderId="0" xfId="0" applyNumberFormat="1" applyFill="1" applyAlignment="1">
      <alignment horizontal="center"/>
    </xf>
    <xf numFmtId="0" fontId="0" fillId="0" borderId="0" xfId="0" applyFont="1" applyAlignment="1"/>
    <xf numFmtId="10" fontId="0" fillId="13" borderId="0" xfId="4" applyNumberFormat="1" applyFont="1" applyFill="1" applyBorder="1" applyAlignment="1" applyProtection="1"/>
    <xf numFmtId="10" fontId="0" fillId="0" borderId="0" xfId="4" applyNumberFormat="1" applyFont="1" applyBorder="1" applyAlignment="1" applyProtection="1"/>
    <xf numFmtId="0" fontId="7" fillId="0" borderId="0" xfId="0" applyFont="1" applyBorder="1" applyAlignment="1">
      <alignment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83" fontId="0" fillId="0" borderId="0" xfId="0" applyNumberFormat="1" applyFont="1" applyAlignment="1">
      <alignment horizontal="center" vertical="center" wrapText="1"/>
    </xf>
    <xf numFmtId="183" fontId="24" fillId="10" borderId="0" xfId="0" applyNumberFormat="1" applyFont="1" applyFill="1" applyAlignment="1">
      <alignment horizontal="center"/>
    </xf>
    <xf numFmtId="0" fontId="7" fillId="17" borderId="23" xfId="0" applyFont="1" applyFill="1" applyBorder="1" applyAlignment="1">
      <alignment horizontal="center"/>
    </xf>
    <xf numFmtId="0" fontId="0" fillId="17" borderId="0" xfId="0" applyFont="1" applyFill="1" applyBorder="1" applyAlignment="1">
      <alignment horizontal="left" vertical="center" wrapText="1"/>
    </xf>
    <xf numFmtId="0" fontId="0" fillId="17" borderId="0" xfId="0" applyFont="1" applyFill="1" applyBorder="1" applyAlignment="1">
      <alignment horizontal="left" wrapText="1"/>
    </xf>
    <xf numFmtId="0" fontId="7" fillId="17" borderId="0" xfId="0" applyFont="1" applyFill="1" applyBorder="1" applyAlignment="1">
      <alignment horizontal="left" vertical="center" wrapText="1"/>
    </xf>
    <xf numFmtId="0" fontId="8" fillId="17" borderId="0" xfId="0" applyFont="1" applyFill="1" applyBorder="1" applyAlignment="1">
      <alignment horizontal="center"/>
    </xf>
    <xf numFmtId="0" fontId="0" fillId="17" borderId="0" xfId="0" applyFont="1" applyFill="1" applyBorder="1" applyAlignment="1">
      <alignment horizontal="center"/>
    </xf>
  </cellXfs>
  <cellStyles count="49">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60% - Ênfase 3" xfId="43" builtinId="40"/>
    <cellStyle name="20% - Ênfase 4" xfId="44" builtinId="42"/>
    <cellStyle name="60% - Ênfase 4" xfId="45" builtinId="44"/>
    <cellStyle name="40% - Ênfase 5" xfId="46" builtinId="47"/>
    <cellStyle name="60% - Ênfase 5" xfId="47" builtinId="48"/>
    <cellStyle name="60% - Ênfase 6" xfId="48" builtinId="52"/>
  </cellStyles>
  <dxfs count="321">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rgb="FFFF000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font>
        <color rgb="FFFF0000"/>
      </font>
      <alignment wrapText="1"/>
    </dxf>
    <dxf>
      <font>
        <color rgb="FFFF000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horizontal="justify"/>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horizontal="center" vertical="center" wrapText="1"/>
    </dxf>
    <dxf>
      <alignment horizontal="center" vertical="center"/>
    </dxf>
    <dxf>
      <alignment horizontal="center"/>
    </dxf>
    <dxf>
      <alignment horizontal="center"/>
    </dxf>
    <dxf>
      <alignment horizontal="center" vertical="cent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9D18E"/>
      <rgbColor rgb="00808080"/>
      <rgbColor rgb="009999FF"/>
      <rgbColor rgb="00993366"/>
      <rgbColor rgb="00F2F2F2"/>
      <rgbColor rgb="00CCFFFF"/>
      <rgbColor rgb="00660066"/>
      <rgbColor rgb="00FF8080"/>
      <rgbColor rgb="000066CC"/>
      <rgbColor rgb="00C5E0B4"/>
      <rgbColor rgb="00000080"/>
      <rgbColor rgb="00FF00FF"/>
      <rgbColor rgb="00FFFF00"/>
      <rgbColor rgb="0000FFFF"/>
      <rgbColor rgb="00800080"/>
      <rgbColor rgb="00800000"/>
      <rgbColor rgb="00008080"/>
      <rgbColor rgb="000000FF"/>
      <rgbColor rgb="0000CCFF"/>
      <rgbColor rgb="00CCFFFF"/>
      <rgbColor rgb="00E2F0D9"/>
      <rgbColor rgb="00FFFF99"/>
      <rgbColor rgb="0099CCFF"/>
      <rgbColor rgb="00FF99CC"/>
      <rgbColor rgb="00CC99FF"/>
      <rgbColor rgb="00F4B183"/>
      <rgbColor rgb="003366FF"/>
      <rgbColor rgb="0033CCCC"/>
      <rgbColor rgb="0099CC00"/>
      <rgbColor rgb="00FFCC00"/>
      <rgbColor rgb="00FF9900"/>
      <rgbColor rgb="00FF6600"/>
      <rgbColor rgb="00666699"/>
      <rgbColor rgb="0070AD47"/>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ables/table1.xml><?xml version="1.0" encoding="utf-8"?>
<table xmlns="http://schemas.openxmlformats.org/spreadsheetml/2006/main" id="1" name="CITL" displayName="CITL" ref="F15:G20" totalsRowShown="0">
  <autoFilter ref="F15:G20"/>
  <tableColumns count="2">
    <tableColumn id="1" name="Descrição" dataDxfId="0"/>
    <tableColumn id="2" name="Percentual" dataDxfId="1"/>
  </tableColumns>
  <tableStyleInfo showFirstColumn="0" showLastColumn="0" showRowStripes="1" showColumnStripes="0"/>
</table>
</file>

<file path=xl/tables/table10.xml><?xml version="1.0" encoding="utf-8"?>
<table xmlns="http://schemas.openxmlformats.org/spreadsheetml/2006/main" id="16" name="ResumoPosto" displayName="ResumoPosto" ref="A140:D148" totalsRowShown="0">
  <autoFilter ref="A140:D148"/>
  <tableColumns count="4">
    <tableColumn id="1" name="Item" dataDxfId="30"/>
    <tableColumn id="2" name="Mão de obra vinculada à execução contratual" dataDxfId="31"/>
    <tableColumn id="3" name="-" dataDxfId="32"/>
    <tableColumn id="4" name="Valor" dataDxfId="33"/>
  </tableColumns>
  <tableStyleInfo showFirstColumn="0" showLastColumn="0" showRowStripes="1" showColumnStripes="0"/>
</table>
</file>

<file path=xl/tables/table100.xml><?xml version="1.0" encoding="utf-8"?>
<table xmlns="http://schemas.openxmlformats.org/spreadsheetml/2006/main" id="128" name="Módulo562" displayName="Módulo562" ref="A113:D119" totalsRowCount="1">
  <autoFilter ref="A113:D118"/>
  <tableColumns count="4">
    <tableColumn id="1" name="5" totalsRowLabel="Total" dataDxfId="313"/>
    <tableColumn id="2" name="Insumos Diversos" dataDxfId="314"/>
    <tableColumn id="3" name="Comentário" dataDxfId="315"/>
    <tableColumn id="4" name="Valor" totalsRowFunction="custom">
      <totalsRowFormula>TRUNC(SUM(D114:D118),2)</totalsRowFormula>
    </tableColumn>
  </tableColumns>
  <tableStyleInfo showFirstColumn="0" showLastColumn="0" showRowStripes="1" showColumnStripes="0"/>
</table>
</file>

<file path=xl/tables/table101.xml><?xml version="1.0" encoding="utf-8"?>
<table xmlns="http://schemas.openxmlformats.org/spreadsheetml/2006/main" id="9" name="Table43_143" displayName="Table43_143" ref="A3:H19">
  <autoFilter ref="A3:H19"/>
  <tableColumns count="8">
    <tableColumn id="1" name="ITEM" totalsRowLabel="Total"/>
    <tableColumn id="2" name="PEÇA" dataDxfId="316"/>
    <tableColumn id="3" name="DESCRIÇÃO"/>
    <tableColumn id="4" name="UNIDADE" dataDxfId="317"/>
    <tableColumn id="5" name="VALOR MÉDIO UNITÁRIO (R$)"/>
    <tableColumn id="6" name="QUANTIDADE ANUAL"/>
    <tableColumn id="7" name="VALOR ANUAL POR EMPREGADO (R$)"/>
    <tableColumn id="8" name="VALOR MENSAL POR EMPREGADO (R$)" totalsRowFunction="sum"/>
  </tableColumns>
  <tableStyleInfo showFirstColumn="0" showLastColumn="0" showRowStripes="1" showColumnStripes="0"/>
</table>
</file>

<file path=xl/tables/table102.xml><?xml version="1.0" encoding="utf-8"?>
<table xmlns="http://schemas.openxmlformats.org/spreadsheetml/2006/main" id="11" name="Table44" displayName="Table44" ref="A106:F127" totalsRowCount="1">
  <autoFilter ref="A106:F126"/>
  <tableColumns count="6">
    <tableColumn id="1" name="ITEM" totalsRowLabel="Total"/>
    <tableColumn id="2" name="DESCRIÇÃO"/>
    <tableColumn id="3" name="UNIDADE"/>
    <tableColumn id="4" name="QUANTIDADE"/>
    <tableColumn id="5" name="VALOR UNITÁRIO ESTIMADO"/>
    <tableColumn id="6" name="VALOR TOTAL ESTIMADO" totalsRowFunction="sum"/>
  </tableColumns>
  <tableStyleInfo name="TableStyleMedium14" showFirstColumn="0" showLastColumn="0" showRowStripes="1" showColumnStripes="0"/>
</table>
</file>

<file path=xl/tables/table103.xml><?xml version="1.0" encoding="utf-8"?>
<table xmlns="http://schemas.openxmlformats.org/spreadsheetml/2006/main" id="7" name="Table39" displayName="Table39" ref="A2:G9" totalsRowCount="1">
  <tableColumns count="7">
    <tableColumn id="1" name="Item" totalsRowLabel="TOTAL"/>
    <tableColumn id="2" name="Descrição"/>
    <tableColumn id="3" name="Unidade"/>
    <tableColumn id="4" name="Quantidade" dataDxfId="318"/>
    <tableColumn id="5" name="VIGÊNCIA (Mês)" dataDxfId="319"/>
    <tableColumn id="6" name="VALOR UNITÁRIO MÁXIMO ACEITÁVEL" dataDxfId="320"/>
    <tableColumn id="7" name="VALOR TOTAL MÁXIMO ACEITÁVEL" totalsRowFunction="custom">
      <totalsRowFormula>SUM(G3:G8)</totalsRowFormula>
    </tableColumn>
  </tableColumns>
  <tableStyleInfo name="TableStyleMedium14" showFirstColumn="0" showLastColumn="0" showRowStripes="1" showColumnStripes="0"/>
</table>
</file>

<file path=xl/tables/table11.xml><?xml version="1.0" encoding="utf-8"?>
<table xmlns="http://schemas.openxmlformats.org/spreadsheetml/2006/main" id="18" name="Submódulo2.1" displayName="Submódulo2.1" ref="A21:D24" totalsRowCount="1">
  <autoFilter ref="A21:D23"/>
  <tableColumns count="4">
    <tableColumn id="1" name="2.1" dataDxfId="34"/>
    <tableColumn id="2" name="13º (décimo terceiro) Salário, Férias e Adicional de Férias" dataDxfId="35"/>
    <tableColumn id="3" name="Comentário" dataDxfId="36"/>
    <tableColumn id="4" name="Valor" dataDxfId="37"/>
  </tableColumns>
  <tableStyleInfo showFirstColumn="0" showLastColumn="0" showRowStripes="1" showColumnStripes="0"/>
</table>
</file>

<file path=xl/tables/table12.xml><?xml version="1.0" encoding="utf-8"?>
<table xmlns="http://schemas.openxmlformats.org/spreadsheetml/2006/main" id="20" name="Submódulo2.2" displayName="Submódulo2.2" ref="A32:D41" totalsRowCount="1">
  <autoFilter ref="A32:D40"/>
  <tableColumns count="4">
    <tableColumn id="1" name="2.2" dataDxfId="38"/>
    <tableColumn id="2" name="GPS, FGTS e outras contribuições" dataDxfId="39"/>
    <tableColumn id="3" name="Percentual" dataDxfId="40"/>
    <tableColumn id="4" name="Valor " dataDxfId="41"/>
  </tableColumns>
  <tableStyleInfo showFirstColumn="0" showLastColumn="0" showRowStripes="1" showColumnStripes="0"/>
</table>
</file>

<file path=xl/tables/table13.xml><?xml version="1.0" encoding="utf-8"?>
<table xmlns="http://schemas.openxmlformats.org/spreadsheetml/2006/main" id="22" name="Submódulo2.3" displayName="Submódulo2.3" ref="A48:D53" totalsRowCount="1">
  <autoFilter ref="A48:D52"/>
  <tableColumns count="4">
    <tableColumn id="1" name="2.3" dataDxfId="42"/>
    <tableColumn id="2" name="Benefícios Mensais e Diários" dataDxfId="43"/>
    <tableColumn id="3" name="Comentário" dataDxfId="44"/>
    <tableColumn id="4" name="Valor" dataDxfId="45"/>
  </tableColumns>
  <tableStyleInfo showFirstColumn="0" showLastColumn="0" showRowStripes="1" showColumnStripes="0"/>
</table>
</file>

<file path=xl/tables/table14.xml><?xml version="1.0" encoding="utf-8"?>
<table xmlns="http://schemas.openxmlformats.org/spreadsheetml/2006/main" id="24" name="Submódulo4.1" displayName="Submódulo4.1" ref="A88:D95" totalsRowCount="1">
  <autoFilter ref="A88:D94"/>
  <tableColumns count="4">
    <tableColumn id="1" name="4.1" dataDxfId="46"/>
    <tableColumn id="2" name="Substituto nas Ausências Legais" dataDxfId="47"/>
    <tableColumn id="3" name="Dias de ausência" dataDxfId="48"/>
    <tableColumn id="4" name="Valor" dataDxfId="49"/>
  </tableColumns>
  <tableStyleInfo showFirstColumn="0" showLastColumn="0" showRowStripes="1" showColumnStripes="0"/>
</table>
</file>

<file path=xl/tables/table15.xml><?xml version="1.0" encoding="utf-8"?>
<table xmlns="http://schemas.openxmlformats.org/spreadsheetml/2006/main" id="26" name="Submódulo4.2" displayName="Submódulo4.2" ref="A103:D105" totalsRowCount="1">
  <autoFilter ref="A103:D104"/>
  <tableColumns count="4">
    <tableColumn id="1" name="4.2" dataDxfId="50"/>
    <tableColumn id="2" name="Substituto na Intrajornada " dataDxfId="51"/>
    <tableColumn id="3" name="Comentário" dataDxfId="52"/>
    <tableColumn id="4" name="Valor" dataDxfId="53"/>
  </tableColumns>
  <tableStyleInfo showFirstColumn="0" showLastColumn="0" showRowStripes="1" showColumnStripes="0"/>
</table>
</file>

<file path=xl/tables/table16.xml><?xml version="1.0" encoding="utf-8"?>
<table xmlns="http://schemas.openxmlformats.org/spreadsheetml/2006/main" id="28" name="Table4" displayName="Table4" ref="A2:D7" totalsRowShown="0">
  <tableColumns count="4">
    <tableColumn id="1" name="Item" dataDxfId="54"/>
    <tableColumn id="2" name="Descrição" dataDxfId="55"/>
    <tableColumn id="3" name="Comentário" dataDxfId="56"/>
    <tableColumn id="4" name="Valor" dataDxfId="57"/>
  </tableColumns>
  <tableStyleInfo showFirstColumn="0" showLastColumn="0" showRowStripes="1" showColumnStripes="0"/>
</table>
</file>

<file path=xl/tables/table17.xml><?xml version="1.0" encoding="utf-8"?>
<table xmlns="http://schemas.openxmlformats.org/spreadsheetml/2006/main" id="32" name="Table8" displayName="Table8" ref="A27:D29" totalsRowShown="0">
  <autoFilter ref="A27:D29"/>
  <tableColumns count="4">
    <tableColumn id="1" name="Item" dataDxfId="58"/>
    <tableColumn id="2" name="Rubrica" dataDxfId="59"/>
    <tableColumn id="3" name="Base de Cálculo" dataDxfId="60"/>
    <tableColumn id="4" name="Memória de Cálculo" dataDxfId="61"/>
  </tableColumns>
  <tableStyleInfo showFirstColumn="0" showLastColumn="0" showRowStripes="1" showColumnStripes="0"/>
</table>
</file>

<file path=xl/tables/table18.xml><?xml version="1.0" encoding="utf-8"?>
<table xmlns="http://schemas.openxmlformats.org/spreadsheetml/2006/main" id="33" name="Table839" displayName="Table839" ref="A44:D45" totalsRowShown="0">
  <autoFilter ref="A44:D45"/>
  <tableColumns count="4">
    <tableColumn id="1" name="Item" dataDxfId="62"/>
    <tableColumn id="2" name="Rubrica" dataDxfId="63"/>
    <tableColumn id="3" name="Base de Cálculo" dataDxfId="64"/>
    <tableColumn id="4" name="Memória de Cálculo" dataDxfId="65"/>
  </tableColumns>
  <tableStyleInfo showFirstColumn="0" showLastColumn="0" showRowStripes="1" showColumnStripes="0"/>
</table>
</file>

<file path=xl/tables/table19.xml><?xml version="1.0" encoding="utf-8"?>
<table xmlns="http://schemas.openxmlformats.org/spreadsheetml/2006/main" id="34" name="Table842" displayName="Table842" ref="A56:D58" totalsRowShown="0">
  <autoFilter ref="A56:D58"/>
  <tableColumns count="4">
    <tableColumn id="1" name="Item" dataDxfId="66"/>
    <tableColumn id="2" name="Rubrica" dataDxfId="67"/>
    <tableColumn id="3" name="Base de Cálculo" dataDxfId="68"/>
    <tableColumn id="4" name="Memória de Cálculo" dataDxfId="69"/>
  </tableColumns>
  <tableStyleInfo showFirstColumn="0" showLastColumn="0" showRowStripes="1" showColumnStripes="0"/>
</table>
</file>

<file path=xl/tables/table2.xml><?xml version="1.0" encoding="utf-8"?>
<table xmlns="http://schemas.openxmlformats.org/spreadsheetml/2006/main" id="2" name="DadosDesligamento" displayName="DadosDesligamento" ref="F9:G12" totalsRowShown="0">
  <autoFilter ref="F9:G12"/>
  <tableColumns count="2">
    <tableColumn id="1" name="Tipos" dataDxfId="2"/>
    <tableColumn id="2" name="Percentual" dataDxfId="3"/>
  </tableColumns>
  <tableStyleInfo showFirstColumn="0" showLastColumn="0" showRowStripes="1" showColumnStripes="0"/>
</table>
</file>

<file path=xl/tables/table20.xml><?xml version="1.0" encoding="utf-8"?>
<table xmlns="http://schemas.openxmlformats.org/spreadsheetml/2006/main" id="35" name="Table84237" displayName="Table84237" ref="A78:D84" totalsRowShown="0">
  <autoFilter ref="A78:D84"/>
  <tableColumns count="4">
    <tableColumn id="1" name="Item" dataDxfId="70"/>
    <tableColumn id="2" name="Rubrica" dataDxfId="71"/>
    <tableColumn id="3" name="Base de Cálculo" dataDxfId="72"/>
    <tableColumn id="4" name="Memória de Cálculo" dataDxfId="73"/>
  </tableColumns>
  <tableStyleInfo showFirstColumn="0" showLastColumn="0" showRowStripes="1" showColumnStripes="0"/>
</table>
</file>

<file path=xl/tables/table21.xml><?xml version="1.0" encoding="utf-8"?>
<table xmlns="http://schemas.openxmlformats.org/spreadsheetml/2006/main" id="36" name="Table84238" displayName="Table84238" ref="A98:D100" totalsRowShown="0">
  <autoFilter ref="A98:D100"/>
  <tableColumns count="4">
    <tableColumn id="1" name="Item" dataDxfId="74"/>
    <tableColumn id="2" name="Rubrica" dataDxfId="75"/>
    <tableColumn id="3" name="Base de Cálculo" dataDxfId="76"/>
    <tableColumn id="4" name="Memória de Cálculo" dataDxfId="77"/>
  </tableColumns>
  <tableStyleInfo showFirstColumn="0" showLastColumn="0" showRowStripes="1" showColumnStripes="0"/>
</table>
</file>

<file path=xl/tables/table22.xml><?xml version="1.0" encoding="utf-8"?>
<table xmlns="http://schemas.openxmlformats.org/spreadsheetml/2006/main" id="37" name="Table8423851" displayName="Table8423851" ref="A122:D126" totalsRowShown="0">
  <autoFilter ref="A122:D126"/>
  <tableColumns count="4">
    <tableColumn id="1" name="Item" dataDxfId="78"/>
    <tableColumn id="2" name="Rubrica" dataDxfId="79"/>
    <tableColumn id="3" name="Base de Cálculo" dataDxfId="80"/>
    <tableColumn id="4" name="Memória de Cálculo" dataDxfId="81"/>
  </tableColumns>
  <tableStyleInfo showFirstColumn="0" showLastColumn="0" showRowStripes="1" showColumnStripes="0"/>
</table>
</file>

<file path=xl/tables/table23.xml><?xml version="1.0" encoding="utf-8"?>
<table xmlns="http://schemas.openxmlformats.org/spreadsheetml/2006/main" id="103" name="Módulo358_57104" displayName="Módulo358_57104" ref="A76:D83" totalsRowCount="1">
  <autoFilter ref="A76:D82"/>
  <tableColumns count="4">
    <tableColumn id="1" name="3" totalsRowLabel="Total" dataDxfId="82"/>
    <tableColumn id="2" name="Provisão para Rescisão" dataDxfId="83"/>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24.xml><?xml version="1.0" encoding="utf-8"?>
<table xmlns="http://schemas.openxmlformats.org/spreadsheetml/2006/main" id="104" name="Módulo663_59105" displayName="Módulo663_59105" ref="A129:D136" totalsRowCount="1">
  <tableColumns count="4">
    <tableColumn id="1" name="6" totalsRowLabel="Total" dataDxfId="84"/>
    <tableColumn id="2" name="Custos Indiretos, Tributos e Lucro" dataDxfId="85"/>
    <tableColumn id="3" name="Percentual" dataDxfId="86"/>
    <tableColumn id="4" name="Valor" totalsRowFunction="custom">
      <totalsRowFormula>TRUNC(SUM(D130:D132),2)</totalsRowFormula>
    </tableColumn>
  </tableColumns>
  <tableStyleInfo showFirstColumn="0" showLastColumn="0" showRowStripes="1" showColumnStripes="0"/>
</table>
</file>

<file path=xl/tables/table25.xml><?xml version="1.0" encoding="utf-8"?>
<table xmlns="http://schemas.openxmlformats.org/spreadsheetml/2006/main" id="105" name="Table452_56106" displayName="Table452_56106" ref="A16:D21" totalsRowShown="0">
  <tableColumns count="4">
    <tableColumn id="1" name="Item" dataDxfId="87"/>
    <tableColumn id="2" name="Descrição" dataDxfId="88"/>
    <tableColumn id="3" name="Comentário" dataDxfId="89"/>
    <tableColumn id="4" name="Valor" dataDxfId="90"/>
  </tableColumns>
  <tableStyleInfo showFirstColumn="0" showLastColumn="0" showRowStripes="1" showColumnStripes="0"/>
</table>
</file>

<file path=xl/tables/table26.xml><?xml version="1.0" encoding="utf-8"?>
<table xmlns="http://schemas.openxmlformats.org/spreadsheetml/2006/main" id="106" name="Submódulo4.260_55107" displayName="Submódulo4.260_55107" ref="A102:D104" totalsRowCount="1">
  <autoFilter ref="A102:D103"/>
  <tableColumns count="4">
    <tableColumn id="1" name="4.2" totalsRowLabel="Total" dataDxfId="91"/>
    <tableColumn id="2" name="Substituto na Intrajornada " dataDxfId="92"/>
    <tableColumn id="3" name="Comentário" dataDxfId="93"/>
    <tableColumn id="4" name="Valor" totalsRowFunction="custom">
      <totalsRowFormula>D103</totalsRowFormula>
    </tableColumn>
  </tableColumns>
  <tableStyleInfo showFirstColumn="0" showLastColumn="0" showRowStripes="1" showColumnStripes="0"/>
</table>
</file>

<file path=xl/tables/table27.xml><?xml version="1.0" encoding="utf-8"?>
<table xmlns="http://schemas.openxmlformats.org/spreadsheetml/2006/main" id="107" name="ResumoPosto64_64108" displayName="ResumoPosto64_64108" ref="A140:D148" totalsRowShown="0">
  <autoFilter ref="A140:D148"/>
  <tableColumns count="4">
    <tableColumn id="1" name="Item" dataDxfId="94"/>
    <tableColumn id="2" name="Mão de obra vinculada à execução contratual" dataDxfId="95"/>
    <tableColumn id="3" name="-" dataDxfId="96"/>
    <tableColumn id="4" name="Valor" dataDxfId="97"/>
  </tableColumns>
  <tableStyleInfo showFirstColumn="0" showLastColumn="0" showRowStripes="1" showColumnStripes="0"/>
</table>
</file>

<file path=xl/tables/table28.xml><?xml version="1.0" encoding="utf-8"?>
<table xmlns="http://schemas.openxmlformats.org/spreadsheetml/2006/main" id="108" name="Módulo153_52109" displayName="Módulo153_52109" ref="A24:D31" totalsRowCount="1">
  <autoFilter ref="A24:D30"/>
  <tableColumns count="4">
    <tableColumn id="1" name="1" totalsRowLabel="Total" dataDxfId="98"/>
    <tableColumn id="2" name="Composição da Remuneração" dataDxfId="99"/>
    <tableColumn id="3" name="Comentário" dataDxfId="100"/>
    <tableColumn id="4" name="Valor" totalsRowFunction="custom">
      <totalsRowFormula>TRUNC((SUM(D25:D30)),2)</totalsRowFormula>
    </tableColumn>
  </tableColumns>
  <tableStyleInfo showFirstColumn="0" showLastColumn="0" showRowStripes="1" showColumnStripes="0"/>
</table>
</file>

<file path=xl/tables/table29.xml><?xml version="1.0" encoding="utf-8"?>
<table xmlns="http://schemas.openxmlformats.org/spreadsheetml/2006/main" id="109" name="Submódulo4.159_54110" displayName="Submódulo4.159_54110" ref="A92:D99" totalsRowCount="1">
  <autoFilter ref="A92:D98"/>
  <tableColumns count="4">
    <tableColumn id="1" name="4.1" totalsRowLabel="Total" dataDxfId="101"/>
    <tableColumn id="2" name="Substituto nas Ausências Legais" dataDxfId="102"/>
    <tableColumn id="3" name="Percentual" totalsRowFunction="sum" dataDxfId="103"/>
    <tableColumn id="4" name="Valor" totalsRowFunction="custom">
      <totalsRowFormula>TRUNC((SUM(D93:D98)),2)</totalsRowFormula>
    </tableColumn>
  </tableColumns>
  <tableStyleInfo showFirstColumn="0" showLastColumn="0" showRowStripes="1" showColumnStripes="0"/>
</table>
</file>

<file path=xl/tables/table3.xml><?xml version="1.0" encoding="utf-8"?>
<table xmlns="http://schemas.openxmlformats.org/spreadsheetml/2006/main" id="3" name="DadosGerais" displayName="DadosGerais" ref="F2:G6" totalsRowShown="0">
  <autoFilter ref="F2:G6"/>
  <tableColumns count="2">
    <tableColumn id="1" name="Descrição" dataDxfId="4"/>
    <tableColumn id="2" name="Valor" dataDxfId="5"/>
  </tableColumns>
  <tableStyleInfo showFirstColumn="0" showLastColumn="0" showRowStripes="1" showColumnStripes="0"/>
</table>
</file>

<file path=xl/tables/table30.xml><?xml version="1.0" encoding="utf-8"?>
<table xmlns="http://schemas.openxmlformats.org/spreadsheetml/2006/main" id="110" name="Submódulo2.154_61111" displayName="Submódulo2.154_61111" ref="A36:D39" totalsRowCount="1">
  <autoFilter ref="A36:D38"/>
  <tableColumns count="4">
    <tableColumn id="1" name="2.1" totalsRowLabel="Total" dataDxfId="104"/>
    <tableColumn id="2" name="13º (décimo terceiro) Salário, Férias e Adicional de Férias" dataDxfId="105"/>
    <tableColumn id="3" name="Percentual" dataDxfId="106"/>
    <tableColumn id="4" name="Valor" totalsRowFunction="custom">
      <totalsRowFormula>TRUNC((SUM(D37:D38)),2)</totalsRowFormula>
    </tableColumn>
  </tableColumns>
  <tableStyleInfo showFirstColumn="0" showLastColumn="0" showRowStripes="1" showColumnStripes="0"/>
</table>
</file>

<file path=xl/tables/table31.xml><?xml version="1.0" encoding="utf-8"?>
<table xmlns="http://schemas.openxmlformats.org/spreadsheetml/2006/main" id="111" name="Submódulo2.356_53112" displayName="Submódulo2.356_53112" ref="A58:D66" totalsRowCount="1">
  <autoFilter ref="A58:D65"/>
  <tableColumns count="4">
    <tableColumn id="1" name="2.3" totalsRowLabel="Total" dataDxfId="107"/>
    <tableColumn id="2" name="Benefícios Mensais e Diários" dataDxfId="108"/>
    <tableColumn id="3" name="Comentário" dataDxfId="109"/>
    <tableColumn id="4" name="Valor" totalsRowFunction="custom">
      <totalsRowFormula>TRUNC((SUM(D59:D65)),2)</totalsRowFormula>
    </tableColumn>
  </tableColumns>
  <tableStyleInfo showFirstColumn="0" showLastColumn="0" showRowStripes="1" showColumnStripes="0"/>
</table>
</file>

<file path=xl/tables/table32.xml><?xml version="1.0" encoding="utf-8"?>
<table xmlns="http://schemas.openxmlformats.org/spreadsheetml/2006/main" id="112" name="ResumoMódulo257_60113" displayName="ResumoMódulo257_60113" ref="A69:D73" totalsRowCount="1">
  <autoFilter ref="A69:D72"/>
  <tableColumns count="4">
    <tableColumn id="1" name="2" totalsRowLabel="Total" dataDxfId="110"/>
    <tableColumn id="2" name="Encargos e Benefícios Anuais, Mensais e Diários" dataDxfId="111"/>
    <tableColumn id="3" name="Comentário" dataDxfId="112"/>
    <tableColumn id="4" name="Valor" totalsRowFunction="custom">
      <totalsRowFormula>TRUNC((SUM(D70:D72)),2)</totalsRowFormula>
    </tableColumn>
  </tableColumns>
  <tableStyleInfo showFirstColumn="0" showLastColumn="0" showRowStripes="1" showColumnStripes="0"/>
</table>
</file>

<file path=xl/tables/table33.xml><?xml version="1.0" encoding="utf-8"?>
<table xmlns="http://schemas.openxmlformats.org/spreadsheetml/2006/main" id="113" name="Submódulo2.255_63114" displayName="Submódulo2.255_63114" ref="A46:D55" totalsRowCount="1">
  <autoFilter ref="A46:D54"/>
  <tableColumns count="4">
    <tableColumn id="1" name="2.2" totalsRowLabel="Total" dataDxfId="113"/>
    <tableColumn id="2" name="GPS, FGTS e outras contribuições" dataDxfId="114"/>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34.xml><?xml version="1.0" encoding="utf-8"?>
<table xmlns="http://schemas.openxmlformats.org/spreadsheetml/2006/main" id="114" name="ResumoMódulo461_62115" displayName="ResumoMódulo461_62115" ref="A107:D110" totalsRowCount="1">
  <autoFilter ref="A107:D109"/>
  <tableColumns count="4">
    <tableColumn id="1" name="4" totalsRowLabel="Total" dataDxfId="115"/>
    <tableColumn id="2" name="Custo de Reposição do Profissional Ausente" dataDxfId="116"/>
    <tableColumn id="3" name="Comentário" totalsRowLabel="*Nota: Se o titular USUFRUIR do descanso intrajornada, o total é o somatório dos subitens 4.1 e 4.2" dataDxfId="117"/>
    <tableColumn id="4" name="Valor" totalsRowFunction="custom">
      <totalsRowFormula>TRUNC((SUM(D108:D109)),2)</totalsRowFormula>
    </tableColumn>
  </tableColumns>
  <tableStyleInfo showFirstColumn="0" showLastColumn="0" showRowStripes="1" showColumnStripes="0"/>
</table>
</file>

<file path=xl/tables/table35.xml><?xml version="1.0" encoding="utf-8"?>
<table xmlns="http://schemas.openxmlformats.org/spreadsheetml/2006/main" id="115" name="Módulo562_58116" displayName="Módulo562_58116" ref="A113:D119" totalsRowCount="1">
  <autoFilter ref="A113:D118"/>
  <tableColumns count="4">
    <tableColumn id="1" name="5" totalsRowLabel="Total" dataDxfId="118"/>
    <tableColumn id="2" name="Insumos Diversos" dataDxfId="119"/>
    <tableColumn id="3" name="Comentário" dataDxfId="120"/>
    <tableColumn id="4" name="Valor" totalsRowFunction="custom">
      <totalsRowFormula>TRUNC(SUM(D114:D118),2)</totalsRowFormula>
    </tableColumn>
  </tableColumns>
  <tableStyleInfo showFirstColumn="0" showLastColumn="0" showRowStripes="1" showColumnStripes="0"/>
</table>
</file>

<file path=xl/tables/table36.xml><?xml version="1.0" encoding="utf-8"?>
<table xmlns="http://schemas.openxmlformats.org/spreadsheetml/2006/main" id="38" name="Módulo153_39" displayName="Módulo153_39" ref="A24:D31" totalsRowCount="1">
  <autoFilter ref="A24:D30"/>
  <tableColumns count="4">
    <tableColumn id="1" name="1" totalsRowLabel="Total" dataDxfId="121"/>
    <tableColumn id="2" name="Composição da Remuneração" dataDxfId="122"/>
    <tableColumn id="3" name="Comentário" dataDxfId="123"/>
    <tableColumn id="4" name="Valor" totalsRowFunction="custom">
      <totalsRowFormula>TRUNC(SUM(D25:D30),2)</totalsRowFormula>
    </tableColumn>
  </tableColumns>
  <tableStyleInfo showFirstColumn="0" showLastColumn="0" showRowStripes="1" showColumnStripes="0"/>
</table>
</file>

<file path=xl/tables/table37.xml><?xml version="1.0" encoding="utf-8"?>
<table xmlns="http://schemas.openxmlformats.org/spreadsheetml/2006/main" id="39" name="Submódulo2.356_40" displayName="Submódulo2.356_40" ref="A58:D66" totalsRowCount="1">
  <autoFilter ref="A58:D65"/>
  <tableColumns count="4">
    <tableColumn id="1" name="2.3" totalsRowLabel="Total" dataDxfId="124"/>
    <tableColumn id="2" name="Benefícios Mensais e Diários" dataDxfId="125"/>
    <tableColumn id="3" name="Comentário" dataDxfId="126"/>
    <tableColumn id="4" name="Valor" totalsRowFunction="custom">
      <totalsRowFormula>TRUNC((SUM(D59:D65)),2)</totalsRowFormula>
    </tableColumn>
  </tableColumns>
  <tableStyleInfo showFirstColumn="0" showLastColumn="0" showRowStripes="1" showColumnStripes="0"/>
</table>
</file>

<file path=xl/tables/table38.xml><?xml version="1.0" encoding="utf-8"?>
<table xmlns="http://schemas.openxmlformats.org/spreadsheetml/2006/main" id="40" name="Submódulo4.159_41" displayName="Submódulo4.159_41" ref="A92:D99" totalsRowCount="1">
  <autoFilter ref="A92:D98"/>
  <tableColumns count="4">
    <tableColumn id="1" name="4.1" totalsRowLabel="Total" dataDxfId="127"/>
    <tableColumn id="2" name="Substituto nas Ausências Legais" dataDxfId="128"/>
    <tableColumn id="3" name="Percentual" totalsRowFunction="sum" dataDxfId="129"/>
    <tableColumn id="4" name="Valor" totalsRowFunction="custom">
      <totalsRowFormula>TRUNC((SUM(D93:D98)),2)</totalsRowFormula>
    </tableColumn>
  </tableColumns>
  <tableStyleInfo showFirstColumn="0" showLastColumn="0" showRowStripes="1" showColumnStripes="0"/>
</table>
</file>

<file path=xl/tables/table39.xml><?xml version="1.0" encoding="utf-8"?>
<table xmlns="http://schemas.openxmlformats.org/spreadsheetml/2006/main" id="41" name="Submódulo4.260_42" displayName="Submódulo4.260_42" ref="A102:D104" totalsRowCount="1">
  <autoFilter ref="A102:D103"/>
  <tableColumns count="4">
    <tableColumn id="1" name="4.2" totalsRowLabel="Total" dataDxfId="130"/>
    <tableColumn id="2" name="Substituto na Intrajornada " dataDxfId="131"/>
    <tableColumn id="3" name="Comentário" dataDxfId="132"/>
    <tableColumn id="4" name="Valor" totalsRowFunction="custom">
      <totalsRowFormula>D103</totalsRowFormula>
    </tableColumn>
  </tableColumns>
  <tableStyleInfo showFirstColumn="0" showLastColumn="0" showRowStripes="1" showColumnStripes="0"/>
</table>
</file>

<file path=xl/tables/table4.xml><?xml version="1.0" encoding="utf-8"?>
<table xmlns="http://schemas.openxmlformats.org/spreadsheetml/2006/main" id="4" name="Módulo1" displayName="Módulo1" ref="A10:D17" totalsRowCount="1">
  <autoFilter ref="A10:D16"/>
  <tableColumns count="4">
    <tableColumn id="1" name="1" dataDxfId="6"/>
    <tableColumn id="2" name="Composição da Remuneração" dataDxfId="7"/>
    <tableColumn id="3" name="Comentário" dataDxfId="8"/>
    <tableColumn id="4" name="Valor" dataDxfId="9"/>
  </tableColumns>
  <tableStyleInfo showFirstColumn="0" showLastColumn="0" showRowStripes="1" showColumnStripes="0"/>
</table>
</file>

<file path=xl/tables/table40.xml><?xml version="1.0" encoding="utf-8"?>
<table xmlns="http://schemas.openxmlformats.org/spreadsheetml/2006/main" id="42" name="Table452_43" displayName="Table452_43" ref="A16:D21" totalsRowShown="0">
  <tableColumns count="4">
    <tableColumn id="1" name="Item" dataDxfId="133"/>
    <tableColumn id="2" name="Descrição" dataDxfId="134"/>
    <tableColumn id="3" name="Comentário" dataDxfId="135"/>
    <tableColumn id="4" name="Valor" dataDxfId="136"/>
  </tableColumns>
  <tableStyleInfo showFirstColumn="0" showLastColumn="0" showRowStripes="1" showColumnStripes="0"/>
</table>
</file>

<file path=xl/tables/table41.xml><?xml version="1.0" encoding="utf-8"?>
<table xmlns="http://schemas.openxmlformats.org/spreadsheetml/2006/main" id="43" name="Módulo358_44" displayName="Módulo358_44" ref="A76:D83" totalsRowCount="1">
  <autoFilter ref="A76:D82"/>
  <tableColumns count="4">
    <tableColumn id="1" name="3" totalsRowLabel="Total" dataDxfId="137"/>
    <tableColumn id="2" name="Provisão para Rescisão" dataDxfId="138"/>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42.xml><?xml version="1.0" encoding="utf-8"?>
<table xmlns="http://schemas.openxmlformats.org/spreadsheetml/2006/main" id="44" name="Módulo562_45" displayName="Módulo562_45" ref="A113:D119" totalsRowCount="1">
  <autoFilter ref="A113:D118"/>
  <tableColumns count="4">
    <tableColumn id="1" name="5" totalsRowLabel="Total" dataDxfId="139"/>
    <tableColumn id="2" name="Insumos Diversos" dataDxfId="140"/>
    <tableColumn id="3" name="Comentário" dataDxfId="141"/>
    <tableColumn id="4" name="Valor" totalsRowFunction="custom">
      <totalsRowFormula>TRUNC(SUM(D114:D118),2)</totalsRowFormula>
    </tableColumn>
  </tableColumns>
  <tableStyleInfo showFirstColumn="0" showLastColumn="0" showRowStripes="1" showColumnStripes="0"/>
</table>
</file>

<file path=xl/tables/table43.xml><?xml version="1.0" encoding="utf-8"?>
<table xmlns="http://schemas.openxmlformats.org/spreadsheetml/2006/main" id="45" name="Módulo663_46" displayName="Módulo663_46" ref="A129:D136" totalsRowCount="1">
  <tableColumns count="4">
    <tableColumn id="1" name="6" totalsRowLabel="Total" dataDxfId="142"/>
    <tableColumn id="2" name="Custos Indiretos, Tributos e Lucro" dataDxfId="143"/>
    <tableColumn id="3" name="Percentual" dataDxfId="144"/>
    <tableColumn id="4" name="Valor" totalsRowFunction="custom">
      <totalsRowFormula>TRUNC(SUM(D130:D132),2)</totalsRowFormula>
    </tableColumn>
  </tableColumns>
  <tableStyleInfo showFirstColumn="0" showLastColumn="0" showRowStripes="1" showColumnStripes="0"/>
</table>
</file>

<file path=xl/tables/table44.xml><?xml version="1.0" encoding="utf-8"?>
<table xmlns="http://schemas.openxmlformats.org/spreadsheetml/2006/main" id="46" name="ResumoMódulo257_47" displayName="ResumoMódulo257_47" ref="A69:D73" totalsRowCount="1">
  <autoFilter ref="A69:D72"/>
  <tableColumns count="4">
    <tableColumn id="1" name="2" totalsRowLabel="Total" dataDxfId="145"/>
    <tableColumn id="2" name="Encargos e Benefícios Anuais, Mensais e Diários" dataDxfId="146"/>
    <tableColumn id="3" name="Comentário" dataDxfId="147"/>
    <tableColumn id="4" name="Valor" totalsRowFunction="custom">
      <totalsRowFormula>TRUNC((SUM(D70:D72)),2)</totalsRowFormula>
    </tableColumn>
  </tableColumns>
  <tableStyleInfo showFirstColumn="0" showLastColumn="0" showRowStripes="1" showColumnStripes="0"/>
</table>
</file>

<file path=xl/tables/table45.xml><?xml version="1.0" encoding="utf-8"?>
<table xmlns="http://schemas.openxmlformats.org/spreadsheetml/2006/main" id="47" name="Submódulo2.154_48" displayName="Submódulo2.154_48" ref="A36:D39" totalsRowCount="1">
  <autoFilter ref="A36:D38"/>
  <tableColumns count="4">
    <tableColumn id="1" name="2.1" totalsRowLabel="Total" dataDxfId="148"/>
    <tableColumn id="2" name="13º (décimo terceiro) Salário, Férias e Adicional de Férias" dataDxfId="149"/>
    <tableColumn id="3" name="Percentual" dataDxfId="150"/>
    <tableColumn id="4" name="Valor" totalsRowFunction="custom">
      <totalsRowFormula>TRUNC((SUM(D37:D38)),2)</totalsRowFormula>
    </tableColumn>
  </tableColumns>
  <tableStyleInfo showFirstColumn="0" showLastColumn="0" showRowStripes="1" showColumnStripes="0"/>
</table>
</file>

<file path=xl/tables/table46.xml><?xml version="1.0" encoding="utf-8"?>
<table xmlns="http://schemas.openxmlformats.org/spreadsheetml/2006/main" id="48" name="ResumoMódulo461_49" displayName="ResumoMódulo461_49" ref="A107:D110" totalsRowCount="1">
  <autoFilter ref="A107:D109"/>
  <tableColumns count="4">
    <tableColumn id="1" name="4" totalsRowLabel="Total" dataDxfId="151"/>
    <tableColumn id="2" name="Custo de Reposição do Profissional Ausente" dataDxfId="152"/>
    <tableColumn id="3" name="Comentário" totalsRowLabel="*Nota: Se o titular USUFRUIR do descanso intrajornada, o total é o somatório dos subitens 4.1 e 4.2" dataDxfId="153"/>
    <tableColumn id="4" name="Valor" totalsRowFunction="custom">
      <totalsRowFormula>TRUNC((SUM(D108:D109)),2)</totalsRowFormula>
    </tableColumn>
  </tableColumns>
  <tableStyleInfo showFirstColumn="0" showLastColumn="0" showRowStripes="1" showColumnStripes="0"/>
</table>
</file>

<file path=xl/tables/table47.xml><?xml version="1.0" encoding="utf-8"?>
<table xmlns="http://schemas.openxmlformats.org/spreadsheetml/2006/main" id="49" name="Submódulo2.255_50" displayName="Submódulo2.255_50" ref="A46:D55" totalsRowCount="1">
  <autoFilter ref="A46:D54"/>
  <tableColumns count="4">
    <tableColumn id="1" name="2.2" totalsRowLabel="Total" dataDxfId="154"/>
    <tableColumn id="2" name="GPS, FGTS e outras contribuições" dataDxfId="155"/>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48.xml><?xml version="1.0" encoding="utf-8"?>
<table xmlns="http://schemas.openxmlformats.org/spreadsheetml/2006/main" id="50" name="ResumoPosto64_51" displayName="ResumoPosto64_51" ref="A140:D148" totalsRowShown="0">
  <autoFilter ref="A140:D148"/>
  <tableColumns count="4">
    <tableColumn id="1" name="Item" dataDxfId="156"/>
    <tableColumn id="2" name="Mão de obra vinculada à execução contratual" dataDxfId="157"/>
    <tableColumn id="3" name="-" dataDxfId="158"/>
    <tableColumn id="4" name="Valor" dataDxfId="159"/>
  </tableColumns>
  <tableStyleInfo showFirstColumn="0" showLastColumn="0" showRowStripes="1" showColumnStripes="0"/>
</table>
</file>

<file path=xl/tables/table49.xml><?xml version="1.0" encoding="utf-8"?>
<table xmlns="http://schemas.openxmlformats.org/spreadsheetml/2006/main" id="51" name="Módulo153_52" displayName="Módulo153_52" ref="A24:D31" totalsRowCount="1">
  <autoFilter ref="A24:D30"/>
  <tableColumns count="4">
    <tableColumn id="1" name="1" totalsRowLabel="Total" dataDxfId="160"/>
    <tableColumn id="2" name="Composição da Remuneração" dataDxfId="161"/>
    <tableColumn id="3" name="Comentário" dataDxfId="162"/>
    <tableColumn id="4" name="Valor" totalsRowFunction="custom">
      <totalsRowFormula>TRUNC((SUM(D25:D30)),2)</totalsRowFormula>
    </tableColumn>
  </tableColumns>
  <tableStyleInfo showFirstColumn="0" showLastColumn="0" showRowStripes="1" showColumnStripes="0"/>
</table>
</file>

<file path=xl/tables/table5.xml><?xml version="1.0" encoding="utf-8"?>
<table xmlns="http://schemas.openxmlformats.org/spreadsheetml/2006/main" id="6" name="Módulo3" displayName="Módulo3" ref="A68:D75" totalsRowCount="1">
  <autoFilter ref="A68:D74"/>
  <tableColumns count="4">
    <tableColumn id="1" name="3" dataDxfId="10"/>
    <tableColumn id="2" name="Provisão para Rescisão" dataDxfId="11"/>
    <tableColumn id="3" name="Comentário" dataDxfId="12"/>
    <tableColumn id="4" name="Valor" dataDxfId="13"/>
  </tableColumns>
  <tableStyleInfo showFirstColumn="0" showLastColumn="0" showRowStripes="1" showColumnStripes="0"/>
</table>
</file>

<file path=xl/tables/table50.xml><?xml version="1.0" encoding="utf-8"?>
<table xmlns="http://schemas.openxmlformats.org/spreadsheetml/2006/main" id="52" name="Submódulo2.356_53" displayName="Submódulo2.356_53" ref="A58:D66" totalsRowCount="1">
  <autoFilter ref="A58:D65"/>
  <tableColumns count="4">
    <tableColumn id="1" name="2.3" totalsRowLabel="Total" dataDxfId="163"/>
    <tableColumn id="2" name="Benefícios Mensais e Diários" dataDxfId="164"/>
    <tableColumn id="3" name="Comentário" dataDxfId="165"/>
    <tableColumn id="4" name="Valor" totalsRowFunction="custom">
      <totalsRowFormula>TRUNC((SUM(D59:D65)),2)</totalsRowFormula>
    </tableColumn>
  </tableColumns>
  <tableStyleInfo showFirstColumn="0" showLastColumn="0" showRowStripes="1" showColumnStripes="0"/>
</table>
</file>

<file path=xl/tables/table51.xml><?xml version="1.0" encoding="utf-8"?>
<table xmlns="http://schemas.openxmlformats.org/spreadsheetml/2006/main" id="53" name="Submódulo4.159_54" displayName="Submódulo4.159_54" ref="A92:D99" totalsRowCount="1">
  <autoFilter ref="A92:D98"/>
  <tableColumns count="4">
    <tableColumn id="1" name="4.1" totalsRowLabel="Total" dataDxfId="166"/>
    <tableColumn id="2" name="Substituto nas Ausências Legais" dataDxfId="167"/>
    <tableColumn id="3" name="Percentual" totalsRowFunction="sum" dataDxfId="168"/>
    <tableColumn id="4" name="Valor" totalsRowFunction="custom">
      <totalsRowFormula>TRUNC((SUM(D93:D98)),2)</totalsRowFormula>
    </tableColumn>
  </tableColumns>
  <tableStyleInfo showFirstColumn="0" showLastColumn="0" showRowStripes="1" showColumnStripes="0"/>
</table>
</file>

<file path=xl/tables/table52.xml><?xml version="1.0" encoding="utf-8"?>
<table xmlns="http://schemas.openxmlformats.org/spreadsheetml/2006/main" id="54" name="Submódulo4.260_55" displayName="Submódulo4.260_55" ref="A102:D104" totalsRowCount="1">
  <autoFilter ref="A102:D103"/>
  <tableColumns count="4">
    <tableColumn id="1" name="4.2" totalsRowLabel="Total" dataDxfId="169"/>
    <tableColumn id="2" name="Substituto na Intrajornada " dataDxfId="170"/>
    <tableColumn id="3" name="Comentário" dataDxfId="171"/>
    <tableColumn id="4" name="Valor" totalsRowFunction="custom">
      <totalsRowFormula>D103</totalsRowFormula>
    </tableColumn>
  </tableColumns>
  <tableStyleInfo showFirstColumn="0" showLastColumn="0" showRowStripes="1" showColumnStripes="0"/>
</table>
</file>

<file path=xl/tables/table53.xml><?xml version="1.0" encoding="utf-8"?>
<table xmlns="http://schemas.openxmlformats.org/spreadsheetml/2006/main" id="55" name="Table452_56" displayName="Table452_56" ref="A16:D21" totalsRowShown="0">
  <tableColumns count="4">
    <tableColumn id="1" name="Item" dataDxfId="172"/>
    <tableColumn id="2" name="Descrição" dataDxfId="173"/>
    <tableColumn id="3" name="Comentário" dataDxfId="174"/>
    <tableColumn id="4" name="Valor" dataDxfId="175"/>
  </tableColumns>
  <tableStyleInfo showFirstColumn="0" showLastColumn="0" showRowStripes="1" showColumnStripes="0"/>
</table>
</file>

<file path=xl/tables/table54.xml><?xml version="1.0" encoding="utf-8"?>
<table xmlns="http://schemas.openxmlformats.org/spreadsheetml/2006/main" id="56" name="Módulo358_57" displayName="Módulo358_57" ref="A76:D83" totalsRowCount="1">
  <autoFilter ref="A76:D82"/>
  <tableColumns count="4">
    <tableColumn id="1" name="3" totalsRowLabel="Total" dataDxfId="176"/>
    <tableColumn id="2" name="Provisão para Rescisão" dataDxfId="177"/>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55.xml><?xml version="1.0" encoding="utf-8"?>
<table xmlns="http://schemas.openxmlformats.org/spreadsheetml/2006/main" id="57" name="Módulo562_58" displayName="Módulo562_58" ref="A113:D119" totalsRowCount="1">
  <autoFilter ref="A113:D118"/>
  <tableColumns count="4">
    <tableColumn id="1" name="5" totalsRowLabel="Total" dataDxfId="178"/>
    <tableColumn id="2" name="Insumos Diversos" dataDxfId="179"/>
    <tableColumn id="3" name="Comentário" dataDxfId="180"/>
    <tableColumn id="4" name="Valor" totalsRowFunction="custom">
      <totalsRowFormula>TRUNC(SUM(D114:D118),2)</totalsRowFormula>
    </tableColumn>
  </tableColumns>
  <tableStyleInfo showFirstColumn="0" showLastColumn="0" showRowStripes="1" showColumnStripes="0"/>
</table>
</file>

<file path=xl/tables/table56.xml><?xml version="1.0" encoding="utf-8"?>
<table xmlns="http://schemas.openxmlformats.org/spreadsheetml/2006/main" id="58" name="Módulo663_59" displayName="Módulo663_59" ref="A129:D136" totalsRowCount="1">
  <tableColumns count="4">
    <tableColumn id="1" name="6" totalsRowLabel="Total" dataDxfId="181"/>
    <tableColumn id="2" name="Custos Indiretos, Tributos e Lucro" dataDxfId="182"/>
    <tableColumn id="3" name="Percentual" dataDxfId="183"/>
    <tableColumn id="4" name="Valor" totalsRowFunction="custom">
      <totalsRowFormula>TRUNC(SUM(D130:D132),2)</totalsRowFormula>
    </tableColumn>
  </tableColumns>
  <tableStyleInfo showFirstColumn="0" showLastColumn="0" showRowStripes="1" showColumnStripes="0"/>
</table>
</file>

<file path=xl/tables/table57.xml><?xml version="1.0" encoding="utf-8"?>
<table xmlns="http://schemas.openxmlformats.org/spreadsheetml/2006/main" id="59" name="ResumoMódulo257_60" displayName="ResumoMódulo257_60" ref="A69:D73" totalsRowCount="1">
  <autoFilter ref="A69:D72"/>
  <tableColumns count="4">
    <tableColumn id="1" name="2" totalsRowLabel="Total" dataDxfId="184"/>
    <tableColumn id="2" name="Encargos e Benefícios Anuais, Mensais e Diários" dataDxfId="185"/>
    <tableColumn id="3" name="Comentário" dataDxfId="186"/>
    <tableColumn id="4" name="Valor" totalsRowFunction="custom">
      <totalsRowFormula>TRUNC((SUM(D70:D72)),2)</totalsRowFormula>
    </tableColumn>
  </tableColumns>
  <tableStyleInfo showFirstColumn="0" showLastColumn="0" showRowStripes="1" showColumnStripes="0"/>
</table>
</file>

<file path=xl/tables/table58.xml><?xml version="1.0" encoding="utf-8"?>
<table xmlns="http://schemas.openxmlformats.org/spreadsheetml/2006/main" id="60" name="Submódulo2.154_61" displayName="Submódulo2.154_61" ref="A36:D39" totalsRowCount="1">
  <autoFilter ref="A36:D38"/>
  <tableColumns count="4">
    <tableColumn id="1" name="2.1" totalsRowLabel="Total" dataDxfId="187"/>
    <tableColumn id="2" name="13º (décimo terceiro) Salário, Férias e Adicional de Férias" dataDxfId="188"/>
    <tableColumn id="3" name="Percentual" dataDxfId="189"/>
    <tableColumn id="4" name="Valor" totalsRowFunction="custom">
      <totalsRowFormula>TRUNC((SUM(D37:D38)),2)</totalsRowFormula>
    </tableColumn>
  </tableColumns>
  <tableStyleInfo showFirstColumn="0" showLastColumn="0" showRowStripes="1" showColumnStripes="0"/>
</table>
</file>

<file path=xl/tables/table59.xml><?xml version="1.0" encoding="utf-8"?>
<table xmlns="http://schemas.openxmlformats.org/spreadsheetml/2006/main" id="61" name="ResumoMódulo461_62" displayName="ResumoMódulo461_62" ref="A107:D110" totalsRowCount="1">
  <autoFilter ref="A107:D109"/>
  <tableColumns count="4">
    <tableColumn id="1" name="4" totalsRowLabel="Total" dataDxfId="190"/>
    <tableColumn id="2" name="Custo de Reposição do Profissional Ausente" dataDxfId="191"/>
    <tableColumn id="3" name="Comentário" totalsRowLabel="*Nota: Se o titular USUFRUIR do descanso intrajornada, o total é o somatório dos subitens 4.1 e 4.2" dataDxfId="192"/>
    <tableColumn id="4" name="Valor" totalsRowFunction="custom">
      <totalsRowFormula>TRUNC((SUM(D108:D109)),2)</totalsRowFormula>
    </tableColumn>
  </tableColumns>
  <tableStyleInfo showFirstColumn="0" showLastColumn="0" showRowStripes="1" showColumnStripes="0"/>
</table>
</file>

<file path=xl/tables/table6.xml><?xml version="1.0" encoding="utf-8"?>
<table xmlns="http://schemas.openxmlformats.org/spreadsheetml/2006/main" id="8" name="Módulo5" displayName="Módulo5" ref="A114:D119" totalsRowCount="1">
  <autoFilter ref="A114:D118"/>
  <tableColumns count="4">
    <tableColumn id="1" name="5" dataDxfId="14"/>
    <tableColumn id="2" name="Insumos Diversos" dataDxfId="15"/>
    <tableColumn id="3" name="Comentário" dataDxfId="16"/>
    <tableColumn id="4" name="Valor" dataDxfId="17"/>
  </tableColumns>
  <tableStyleInfo showFirstColumn="0" showLastColumn="0" showRowStripes="1" showColumnStripes="0"/>
</table>
</file>

<file path=xl/tables/table60.xml><?xml version="1.0" encoding="utf-8"?>
<table xmlns="http://schemas.openxmlformats.org/spreadsheetml/2006/main" id="62" name="Submódulo2.255_63" displayName="Submódulo2.255_63" ref="A46:D55" totalsRowCount="1">
  <autoFilter ref="A46:D54"/>
  <tableColumns count="4">
    <tableColumn id="1" name="2.2" totalsRowLabel="Total" dataDxfId="193"/>
    <tableColumn id="2" name="GPS, FGTS e outras contribuições" dataDxfId="194"/>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61.xml><?xml version="1.0" encoding="utf-8"?>
<table xmlns="http://schemas.openxmlformats.org/spreadsheetml/2006/main" id="63" name="ResumoPosto64_64" displayName="ResumoPosto64_64" ref="A140:D148" totalsRowShown="0">
  <autoFilter ref="A140:D148"/>
  <tableColumns count="4">
    <tableColumn id="1" name="Item" dataDxfId="195"/>
    <tableColumn id="2" name="Mão de obra vinculada à execução contratual" dataDxfId="196"/>
    <tableColumn id="3" name="-" dataDxfId="197"/>
    <tableColumn id="4" name="Valor" dataDxfId="198"/>
  </tableColumns>
  <tableStyleInfo showFirstColumn="0" showLastColumn="0" showRowStripes="1" showColumnStripes="0"/>
</table>
</file>

<file path=xl/tables/table62.xml><?xml version="1.0" encoding="utf-8"?>
<table xmlns="http://schemas.openxmlformats.org/spreadsheetml/2006/main" id="64" name="Submódulo2.356_65" displayName="Submódulo2.356_65" ref="A58:D66" totalsRowCount="1">
  <autoFilter ref="A58:D65"/>
  <tableColumns count="4">
    <tableColumn id="1" name="2.3" totalsRowLabel="Total" dataDxfId="199"/>
    <tableColumn id="2" name="Benefícios Mensais e Diários" dataDxfId="200"/>
    <tableColumn id="3" name="Comentário" dataDxfId="201"/>
    <tableColumn id="4" name="Valor" totalsRowFunction="custom">
      <totalsRowFormula>TRUNC((SUM(D59:D65)),2)</totalsRowFormula>
    </tableColumn>
  </tableColumns>
  <tableStyleInfo showFirstColumn="0" showLastColumn="0" showRowStripes="1" showColumnStripes="0"/>
</table>
</file>

<file path=xl/tables/table63.xml><?xml version="1.0" encoding="utf-8"?>
<table xmlns="http://schemas.openxmlformats.org/spreadsheetml/2006/main" id="65" name="Módulo153_66" displayName="Módulo153_66" ref="A24:D31" totalsRowCount="1">
  <autoFilter ref="A24:D30"/>
  <tableColumns count="4">
    <tableColumn id="1" name="1" totalsRowLabel="Total" dataDxfId="202"/>
    <tableColumn id="2" name="Composição da Remuneração" dataDxfId="203"/>
    <tableColumn id="3" name="Comentário" dataDxfId="204"/>
    <tableColumn id="4" name="Valor" totalsRowFunction="custom">
      <totalsRowFormula>TRUNC((SUM(D25:D30)),2)</totalsRowFormula>
    </tableColumn>
  </tableColumns>
  <tableStyleInfo showFirstColumn="0" showLastColumn="0" showRowStripes="1" showColumnStripes="0"/>
</table>
</file>

<file path=xl/tables/table64.xml><?xml version="1.0" encoding="utf-8"?>
<table xmlns="http://schemas.openxmlformats.org/spreadsheetml/2006/main" id="66" name="Submódulo4.159_67" displayName="Submódulo4.159_67" ref="A92:D99" totalsRowCount="1">
  <autoFilter ref="A92:D98"/>
  <tableColumns count="4">
    <tableColumn id="1" name="4.1" totalsRowLabel="Total" dataDxfId="205"/>
    <tableColumn id="2" name="Substituto nas Ausências Legais" dataDxfId="206"/>
    <tableColumn id="3" name="Percentual" totalsRowFunction="sum" dataDxfId="207"/>
    <tableColumn id="4" name="Valor" totalsRowFunction="custom">
      <totalsRowFormula>TRUNC((SUM(D93:D98)),2)</totalsRowFormula>
    </tableColumn>
  </tableColumns>
  <tableStyleInfo showFirstColumn="0" showLastColumn="0" showRowStripes="1" showColumnStripes="0"/>
</table>
</file>

<file path=xl/tables/table65.xml><?xml version="1.0" encoding="utf-8"?>
<table xmlns="http://schemas.openxmlformats.org/spreadsheetml/2006/main" id="67" name="Módulo358_68" displayName="Módulo358_68" ref="A76:D83" totalsRowCount="1">
  <autoFilter ref="A76:D82"/>
  <tableColumns count="4">
    <tableColumn id="1" name="3" totalsRowLabel="Total" dataDxfId="208"/>
    <tableColumn id="2" name="Provisão para Rescisão" dataDxfId="209"/>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66.xml><?xml version="1.0" encoding="utf-8"?>
<table xmlns="http://schemas.openxmlformats.org/spreadsheetml/2006/main" id="68" name="Módulo562_69" displayName="Módulo562_69" ref="A113:D119" totalsRowCount="1">
  <autoFilter ref="A113:D118"/>
  <tableColumns count="4">
    <tableColumn id="1" name="5" totalsRowLabel="Total" dataDxfId="210"/>
    <tableColumn id="2" name="Insumos Diversos" dataDxfId="211"/>
    <tableColumn id="3" name="Comentário" dataDxfId="212"/>
    <tableColumn id="4" name="Valor" totalsRowFunction="custom">
      <totalsRowFormula>TRUNC(SUM(D114:D118),2)</totalsRowFormula>
    </tableColumn>
  </tableColumns>
  <tableStyleInfo showFirstColumn="0" showLastColumn="0" showRowStripes="1" showColumnStripes="0"/>
</table>
</file>

<file path=xl/tables/table67.xml><?xml version="1.0" encoding="utf-8"?>
<table xmlns="http://schemas.openxmlformats.org/spreadsheetml/2006/main" id="69" name="Table452_70" displayName="Table452_70" ref="A16:D21" totalsRowShown="0">
  <tableColumns count="4">
    <tableColumn id="1" name="Item" dataDxfId="213"/>
    <tableColumn id="2" name="Descrição" dataDxfId="214"/>
    <tableColumn id="3" name="Comentário" dataDxfId="215"/>
    <tableColumn id="4" name="Valor" dataDxfId="216"/>
  </tableColumns>
  <tableStyleInfo showFirstColumn="0" showLastColumn="0" showRowStripes="1" showColumnStripes="0"/>
</table>
</file>

<file path=xl/tables/table68.xml><?xml version="1.0" encoding="utf-8"?>
<table xmlns="http://schemas.openxmlformats.org/spreadsheetml/2006/main" id="70" name="Submódulo4.260_71" displayName="Submódulo4.260_71" ref="A102:D104" totalsRowCount="1">
  <autoFilter ref="A102:D103"/>
  <tableColumns count="4">
    <tableColumn id="1" name="4.2" totalsRowLabel="Total" dataDxfId="217"/>
    <tableColumn id="2" name="Substituto na Intrajornada " dataDxfId="218"/>
    <tableColumn id="3" name="Comentário" dataDxfId="219"/>
    <tableColumn id="4" name="Valor" totalsRowFunction="custom">
      <totalsRowFormula>D103</totalsRowFormula>
    </tableColumn>
  </tableColumns>
  <tableStyleInfo showFirstColumn="0" showLastColumn="0" showRowStripes="1" showColumnStripes="0"/>
</table>
</file>

<file path=xl/tables/table69.xml><?xml version="1.0" encoding="utf-8"?>
<table xmlns="http://schemas.openxmlformats.org/spreadsheetml/2006/main" id="71" name="Módulo663_72" displayName="Módulo663_72" ref="A129:D136" totalsRowCount="1">
  <tableColumns count="4">
    <tableColumn id="1" name="6" totalsRowLabel="Total" dataDxfId="220"/>
    <tableColumn id="2" name="Custos Indiretos, Tributos e Lucro" dataDxfId="221"/>
    <tableColumn id="3" name="Percentual" dataDxfId="222"/>
    <tableColumn id="4" name="Valor" totalsRowFunction="custom">
      <totalsRowFormula>TRUNC(SUM(D130:D132),2)</totalsRowFormula>
    </tableColumn>
  </tableColumns>
  <tableStyleInfo showFirstColumn="0" showLastColumn="0" showRowStripes="1" showColumnStripes="0"/>
</table>
</file>

<file path=xl/tables/table7.xml><?xml version="1.0" encoding="utf-8"?>
<table xmlns="http://schemas.openxmlformats.org/spreadsheetml/2006/main" id="10" name="Módulo6" displayName="Módulo6" ref="A129:D136" totalsRowCount="1">
  <tableColumns count="4">
    <tableColumn id="1" name="6" dataDxfId="18"/>
    <tableColumn id="2" name="Custos Indiretos, Tributos e Lucro" dataDxfId="19"/>
    <tableColumn id="3" name="Percentual" dataDxfId="20"/>
    <tableColumn id="4" name="Valor" dataDxfId="21"/>
  </tableColumns>
  <tableStyleInfo showFirstColumn="0" showLastColumn="0" showRowStripes="1" showColumnStripes="0"/>
</table>
</file>

<file path=xl/tables/table70.xml><?xml version="1.0" encoding="utf-8"?>
<table xmlns="http://schemas.openxmlformats.org/spreadsheetml/2006/main" id="72" name="Submódulo2.154_73" displayName="Submódulo2.154_73" ref="A36:D39" totalsRowCount="1">
  <autoFilter ref="A36:D38"/>
  <tableColumns count="4">
    <tableColumn id="1" name="2.1" totalsRowLabel="Total" dataDxfId="223"/>
    <tableColumn id="2" name="13º (décimo terceiro) Salário, Férias e Adicional de Férias" dataDxfId="224"/>
    <tableColumn id="3" name="Percentual" dataDxfId="225"/>
    <tableColumn id="4" name="Valor" totalsRowFunction="custom">
      <totalsRowFormula>TRUNC((SUM(D37:D38)),2)</totalsRowFormula>
    </tableColumn>
  </tableColumns>
  <tableStyleInfo showFirstColumn="0" showLastColumn="0" showRowStripes="1" showColumnStripes="0"/>
</table>
</file>

<file path=xl/tables/table71.xml><?xml version="1.0" encoding="utf-8"?>
<table xmlns="http://schemas.openxmlformats.org/spreadsheetml/2006/main" id="73" name="ResumoMódulo257_74" displayName="ResumoMódulo257_74" ref="A69:D73" totalsRowCount="1">
  <autoFilter ref="A69:D72"/>
  <tableColumns count="4">
    <tableColumn id="1" name="2" totalsRowLabel="Total" dataDxfId="226"/>
    <tableColumn id="2" name="Encargos e Benefícios Anuais, Mensais e Diários" dataDxfId="227"/>
    <tableColumn id="3" name="Comentário" dataDxfId="228"/>
    <tableColumn id="4" name="Valor" totalsRowFunction="custom">
      <totalsRowFormula>TRUNC((SUM(D70:D72)),2)</totalsRowFormula>
    </tableColumn>
  </tableColumns>
  <tableStyleInfo showFirstColumn="0" showLastColumn="0" showRowStripes="1" showColumnStripes="0"/>
</table>
</file>

<file path=xl/tables/table72.xml><?xml version="1.0" encoding="utf-8"?>
<table xmlns="http://schemas.openxmlformats.org/spreadsheetml/2006/main" id="74" name="ResumoMódulo461_75" displayName="ResumoMódulo461_75" ref="A107:D110" totalsRowCount="1">
  <autoFilter ref="A107:D109"/>
  <tableColumns count="4">
    <tableColumn id="1" name="4" totalsRowLabel="Total" dataDxfId="229"/>
    <tableColumn id="2" name="Custo de Reposição do Profissional Ausente" dataDxfId="230"/>
    <tableColumn id="3" name="Comentário" totalsRowLabel="*Nota: Se o titular USUFRUIR do descanso intrajornada, o total é o somatório dos subitens 4.1 e 4.2" dataDxfId="231"/>
    <tableColumn id="4" name="Valor" totalsRowFunction="custom">
      <totalsRowFormula>TRUNC((SUM(D108:D109)),2)</totalsRowFormula>
    </tableColumn>
  </tableColumns>
  <tableStyleInfo showFirstColumn="0" showLastColumn="0" showRowStripes="1" showColumnStripes="0"/>
</table>
</file>

<file path=xl/tables/table73.xml><?xml version="1.0" encoding="utf-8"?>
<table xmlns="http://schemas.openxmlformats.org/spreadsheetml/2006/main" id="75" name="Submódulo2.255_76" displayName="Submódulo2.255_76" ref="A46:D55" totalsRowCount="1">
  <autoFilter ref="A46:D54"/>
  <tableColumns count="4">
    <tableColumn id="1" name="2.2" totalsRowLabel="Total" dataDxfId="232"/>
    <tableColumn id="2" name="GPS, FGTS e outras contribuições" dataDxfId="233"/>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74.xml><?xml version="1.0" encoding="utf-8"?>
<table xmlns="http://schemas.openxmlformats.org/spreadsheetml/2006/main" id="76" name="ResumoPosto64_77" displayName="ResumoPosto64_77" ref="A140:D148" totalsRowShown="0">
  <autoFilter ref="A140:D148"/>
  <tableColumns count="4">
    <tableColumn id="1" name="Item" dataDxfId="234"/>
    <tableColumn id="2" name="Mão de obra vinculada à execução contratual" dataDxfId="235"/>
    <tableColumn id="3" name="-" dataDxfId="236"/>
    <tableColumn id="4" name="Valor" dataDxfId="237"/>
  </tableColumns>
  <tableStyleInfo showFirstColumn="0" showLastColumn="0" showRowStripes="1" showColumnStripes="0"/>
</table>
</file>

<file path=xl/tables/table75.xml><?xml version="1.0" encoding="utf-8"?>
<table xmlns="http://schemas.openxmlformats.org/spreadsheetml/2006/main" id="77" name="Módulo153_78" displayName="Módulo153_78" ref="A24:D31" totalsRowCount="1">
  <autoFilter ref="A24:D30"/>
  <tableColumns count="4">
    <tableColumn id="1" name="1" totalsRowLabel="Total" dataDxfId="238"/>
    <tableColumn id="2" name="Composição da Remuneração" dataDxfId="239"/>
    <tableColumn id="3" name="Comentário" dataDxfId="240"/>
    <tableColumn id="4" name="Valor" totalsRowFunction="custom">
      <totalsRowFormula>TRUNC(SUM(D25:D30),2)</totalsRowFormula>
    </tableColumn>
  </tableColumns>
  <tableStyleInfo showFirstColumn="0" showLastColumn="0" showRowStripes="1" showColumnStripes="0"/>
</table>
</file>

<file path=xl/tables/table76.xml><?xml version="1.0" encoding="utf-8"?>
<table xmlns="http://schemas.openxmlformats.org/spreadsheetml/2006/main" id="78" name="Submódulo2.356_79" displayName="Submódulo2.356_79" ref="A58:D66" totalsRowCount="1">
  <autoFilter ref="A58:D65"/>
  <tableColumns count="4">
    <tableColumn id="1" name="2.3" totalsRowLabel="Total" dataDxfId="241"/>
    <tableColumn id="2" name="Benefícios Mensais e Diários" dataDxfId="242"/>
    <tableColumn id="3" name="Comentário" dataDxfId="243"/>
    <tableColumn id="4" name="Valor" totalsRowFunction="custom">
      <totalsRowFormula>TRUNC((SUM(D59:D65)),2)</totalsRowFormula>
    </tableColumn>
  </tableColumns>
  <tableStyleInfo showFirstColumn="0" showLastColumn="0" showRowStripes="1" showColumnStripes="0"/>
</table>
</file>

<file path=xl/tables/table77.xml><?xml version="1.0" encoding="utf-8"?>
<table xmlns="http://schemas.openxmlformats.org/spreadsheetml/2006/main" id="79" name="Submódulo4.159_80" displayName="Submódulo4.159_80" ref="A92:D99" totalsRowCount="1">
  <autoFilter ref="A92:D98"/>
  <tableColumns count="4">
    <tableColumn id="1" name="4.1" totalsRowLabel="Total" dataDxfId="244"/>
    <tableColumn id="2" name="Substituto nas Ausências Legais" dataDxfId="245"/>
    <tableColumn id="3" name="Percentual" totalsRowFunction="sum" dataDxfId="246"/>
    <tableColumn id="4" name="Valor" totalsRowFunction="custom">
      <totalsRowFormula>TRUNC((SUM(D93:D98)),2)</totalsRowFormula>
    </tableColumn>
  </tableColumns>
  <tableStyleInfo showFirstColumn="0" showLastColumn="0" showRowStripes="1" showColumnStripes="0"/>
</table>
</file>

<file path=xl/tables/table78.xml><?xml version="1.0" encoding="utf-8"?>
<table xmlns="http://schemas.openxmlformats.org/spreadsheetml/2006/main" id="80" name="Submódulo4.260_81" displayName="Submódulo4.260_81" ref="A102:D104" totalsRowCount="1">
  <autoFilter ref="A102:D103"/>
  <tableColumns count="4">
    <tableColumn id="1" name="4.2" totalsRowLabel="Total" dataDxfId="247"/>
    <tableColumn id="2" name="Substituto na Intrajornada " dataDxfId="248"/>
    <tableColumn id="3" name="Comentário" dataDxfId="249"/>
    <tableColumn id="4" name="Valor" totalsRowFunction="custom">
      <totalsRowFormula>D103</totalsRowFormula>
    </tableColumn>
  </tableColumns>
  <tableStyleInfo showFirstColumn="0" showLastColumn="0" showRowStripes="1" showColumnStripes="0"/>
</table>
</file>

<file path=xl/tables/table79.xml><?xml version="1.0" encoding="utf-8"?>
<table xmlns="http://schemas.openxmlformats.org/spreadsheetml/2006/main" id="81" name="Table452_82" displayName="Table452_82" ref="A16:D21" totalsRowShown="0">
  <tableColumns count="4">
    <tableColumn id="1" name="Item" dataDxfId="250"/>
    <tableColumn id="2" name="Descrição" dataDxfId="251"/>
    <tableColumn id="3" name="Comentário" dataDxfId="252"/>
    <tableColumn id="4" name="Valor" dataDxfId="253"/>
  </tableColumns>
  <tableStyleInfo showFirstColumn="0" showLastColumn="0" showRowStripes="1" showColumnStripes="0"/>
</table>
</file>

<file path=xl/tables/table8.xml><?xml version="1.0" encoding="utf-8"?>
<table xmlns="http://schemas.openxmlformats.org/spreadsheetml/2006/main" id="12" name="ResumoMódulo2" displayName="ResumoMódulo2" ref="A61:D65" totalsRowCount="1">
  <autoFilter ref="A61:D64"/>
  <tableColumns count="4">
    <tableColumn id="1" name="2" dataDxfId="22"/>
    <tableColumn id="2" name="Encargos e Benefícios Anuais, Mensais e Diários" dataDxfId="23"/>
    <tableColumn id="3" name="Comentário" dataDxfId="24"/>
    <tableColumn id="4" name="Valor" dataDxfId="25"/>
  </tableColumns>
  <tableStyleInfo showFirstColumn="0" showLastColumn="0" showRowStripes="1" showColumnStripes="0"/>
</table>
</file>

<file path=xl/tables/table80.xml><?xml version="1.0" encoding="utf-8"?>
<table xmlns="http://schemas.openxmlformats.org/spreadsheetml/2006/main" id="82" name="Módulo358_83" displayName="Módulo358_83" ref="A76:D83" totalsRowCount="1">
  <autoFilter ref="A76:D82"/>
  <tableColumns count="4">
    <tableColumn id="1" name="3" totalsRowLabel="Total" dataDxfId="254"/>
    <tableColumn id="2" name="Provisão para Rescisão" dataDxfId="255"/>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81.xml><?xml version="1.0" encoding="utf-8"?>
<table xmlns="http://schemas.openxmlformats.org/spreadsheetml/2006/main" id="83" name="Módulo562_84" displayName="Módulo562_84" ref="A113:D119" totalsRowCount="1">
  <autoFilter ref="A113:D118"/>
  <tableColumns count="4">
    <tableColumn id="1" name="5" totalsRowLabel="Total" dataDxfId="256"/>
    <tableColumn id="2" name="Insumos Diversos" dataDxfId="257"/>
    <tableColumn id="3" name="Comentário" dataDxfId="258"/>
    <tableColumn id="4" name="Valor" totalsRowFunction="custom">
      <totalsRowFormula>TRUNC(SUM(D114:D118),2)</totalsRowFormula>
    </tableColumn>
  </tableColumns>
  <tableStyleInfo showFirstColumn="0" showLastColumn="0" showRowStripes="1" showColumnStripes="0"/>
</table>
</file>

<file path=xl/tables/table82.xml><?xml version="1.0" encoding="utf-8"?>
<table xmlns="http://schemas.openxmlformats.org/spreadsheetml/2006/main" id="84" name="Módulo663_85" displayName="Módulo663_85" ref="A129:D136" totalsRowCount="1">
  <tableColumns count="4">
    <tableColumn id="1" name="6" totalsRowLabel="Total" dataDxfId="259"/>
    <tableColumn id="2" name="Custos Indiretos, Tributos e Lucro" dataDxfId="260"/>
    <tableColumn id="3" name="Percentual" dataDxfId="261"/>
    <tableColumn id="4" name="Valor" totalsRowFunction="custom">
      <totalsRowFormula>TRUNC(SUM(D130:D132),2)</totalsRowFormula>
    </tableColumn>
  </tableColumns>
  <tableStyleInfo showFirstColumn="0" showLastColumn="0" showRowStripes="1" showColumnStripes="0"/>
</table>
</file>

<file path=xl/tables/table83.xml><?xml version="1.0" encoding="utf-8"?>
<table xmlns="http://schemas.openxmlformats.org/spreadsheetml/2006/main" id="85" name="ResumoMódulo257_86" displayName="ResumoMódulo257_86" ref="A69:D73" totalsRowCount="1">
  <autoFilter ref="A69:D72"/>
  <tableColumns count="4">
    <tableColumn id="1" name="2" totalsRowLabel="Total" dataDxfId="262"/>
    <tableColumn id="2" name="Encargos e Benefícios Anuais, Mensais e Diários" dataDxfId="263"/>
    <tableColumn id="3" name="Comentário" dataDxfId="264"/>
    <tableColumn id="4" name="Valor" totalsRowFunction="custom">
      <totalsRowFormula>TRUNC(SUM(D70:D72),2)</totalsRowFormula>
    </tableColumn>
  </tableColumns>
  <tableStyleInfo showFirstColumn="0" showLastColumn="0" showRowStripes="1" showColumnStripes="0"/>
</table>
</file>

<file path=xl/tables/table84.xml><?xml version="1.0" encoding="utf-8"?>
<table xmlns="http://schemas.openxmlformats.org/spreadsheetml/2006/main" id="86" name="Submódulo2.154_87" displayName="Submódulo2.154_87" ref="A36:D39" totalsRowCount="1">
  <autoFilter ref="A36:D38"/>
  <tableColumns count="4">
    <tableColumn id="1" name="2.1" totalsRowLabel="Total" dataDxfId="265"/>
    <tableColumn id="2" name="13º (décimo terceiro) Salário, Férias e Adicional de Férias" dataDxfId="266"/>
    <tableColumn id="3" name="Percentual" dataDxfId="267"/>
    <tableColumn id="4" name="Valor" totalsRowFunction="custom">
      <totalsRowFormula>TRUNC((SUM(D37:D38)),2)</totalsRowFormula>
    </tableColumn>
  </tableColumns>
  <tableStyleInfo showFirstColumn="0" showLastColumn="0" showRowStripes="1" showColumnStripes="0"/>
</table>
</file>

<file path=xl/tables/table85.xml><?xml version="1.0" encoding="utf-8"?>
<table xmlns="http://schemas.openxmlformats.org/spreadsheetml/2006/main" id="87" name="ResumoMódulo461_88" displayName="ResumoMódulo461_88" ref="A107:D110" totalsRowCount="1">
  <autoFilter ref="A107:D109"/>
  <tableColumns count="4">
    <tableColumn id="1" name="4" totalsRowLabel="Total" dataDxfId="268"/>
    <tableColumn id="2" name="Custo de Reposição do Profissional Ausente" dataDxfId="269"/>
    <tableColumn id="3" name="Comentário" totalsRowLabel="*Nota: Se o titular USUFRUIR do descanso intrajornada, o total é o somatório dos subitens 4.1 e 4.2" dataDxfId="270"/>
    <tableColumn id="4" name="Valor" totalsRowFunction="custom">
      <totalsRowFormula>TRUNC((SUM(D108:D109)),2)</totalsRowFormula>
    </tableColumn>
  </tableColumns>
  <tableStyleInfo showFirstColumn="0" showLastColumn="0" showRowStripes="1" showColumnStripes="0"/>
</table>
</file>

<file path=xl/tables/table86.xml><?xml version="1.0" encoding="utf-8"?>
<table xmlns="http://schemas.openxmlformats.org/spreadsheetml/2006/main" id="88" name="Submódulo2.255_89" displayName="Submódulo2.255_89" ref="A46:D55" totalsRowCount="1">
  <autoFilter ref="A46:D54"/>
  <tableColumns count="4">
    <tableColumn id="1" name="2.2" totalsRowLabel="Total" dataDxfId="271"/>
    <tableColumn id="2" name="GPS, FGTS e outras contribuições" dataDxfId="272"/>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87.xml><?xml version="1.0" encoding="utf-8"?>
<table xmlns="http://schemas.openxmlformats.org/spreadsheetml/2006/main" id="89" name="ResumoPosto64_90" displayName="ResumoPosto64_90" ref="A140:D148" totalsRowShown="0">
  <autoFilter ref="A140:D148"/>
  <tableColumns count="4">
    <tableColumn id="1" name="Item" dataDxfId="273"/>
    <tableColumn id="2" name="Mão de obra vinculada à execução contratual" dataDxfId="274"/>
    <tableColumn id="3" name="-" dataDxfId="275"/>
    <tableColumn id="4" name="Valor" dataDxfId="276"/>
  </tableColumns>
  <tableStyleInfo showFirstColumn="0" showLastColumn="0" showRowStripes="1" showColumnStripes="0"/>
</table>
</file>

<file path=xl/tables/table88.xml><?xml version="1.0" encoding="utf-8"?>
<table xmlns="http://schemas.openxmlformats.org/spreadsheetml/2006/main" id="116" name="Módulo663" displayName="Módulo663" ref="A129:D136" totalsRowCount="1">
  <tableColumns count="4">
    <tableColumn id="1" name="6" totalsRowLabel="Total" dataDxfId="277"/>
    <tableColumn id="2" name="Custos Indiretos, Tributos e Lucro" dataDxfId="278"/>
    <tableColumn id="3" name="Percentual" dataDxfId="279"/>
    <tableColumn id="4" name="Valor" totalsRowFunction="custom">
      <totalsRowFormula>TRUNC(SUM(D130:D132),2)</totalsRowFormula>
    </tableColumn>
  </tableColumns>
  <tableStyleInfo showFirstColumn="0" showLastColumn="0" showRowStripes="1" showColumnStripes="0"/>
</table>
</file>

<file path=xl/tables/table89.xml><?xml version="1.0" encoding="utf-8"?>
<table xmlns="http://schemas.openxmlformats.org/spreadsheetml/2006/main" id="117" name="ResumoMódulo257" displayName="ResumoMódulo257" ref="A69:D73" totalsRowCount="1">
  <autoFilter ref="A69:D72"/>
  <tableColumns count="4">
    <tableColumn id="1" name="2" totalsRowLabel="Total" dataDxfId="280"/>
    <tableColumn id="2" name="Encargos e Benefícios Anuais, Mensais e Diários" dataDxfId="281"/>
    <tableColumn id="3" name="Comentário" dataDxfId="282"/>
    <tableColumn id="4" name="Valor" totalsRowFunction="custom">
      <totalsRowFormula>TRUNC((SUM(D70:D72)),2)</totalsRowFormula>
    </tableColumn>
  </tableColumns>
  <tableStyleInfo showFirstColumn="0" showLastColumn="0" showRowStripes="1" showColumnStripes="0"/>
</table>
</file>

<file path=xl/tables/table9.xml><?xml version="1.0" encoding="utf-8"?>
<table xmlns="http://schemas.openxmlformats.org/spreadsheetml/2006/main" id="14" name="ResumoMódulo4" displayName="ResumoMódulo4" ref="A108:D111" totalsRowCount="1">
  <autoFilter ref="A108:D110"/>
  <tableColumns count="4">
    <tableColumn id="1" name="4" dataDxfId="26"/>
    <tableColumn id="2" name="Custo de Reposição do Profissional Ausente" dataDxfId="27"/>
    <tableColumn id="3" name="Comentário" dataDxfId="28"/>
    <tableColumn id="4" name="Valor" dataDxfId="29"/>
  </tableColumns>
  <tableStyleInfo showFirstColumn="0" showLastColumn="0" showRowStripes="1" showColumnStripes="0"/>
</table>
</file>

<file path=xl/tables/table90.xml><?xml version="1.0" encoding="utf-8"?>
<table xmlns="http://schemas.openxmlformats.org/spreadsheetml/2006/main" id="118" name="Submódulo2.154" displayName="Submódulo2.154" ref="A36:D39" totalsRowCount="1">
  <autoFilter ref="A36:D38"/>
  <tableColumns count="4">
    <tableColumn id="1" name="2.1" totalsRowLabel="Total" dataDxfId="283"/>
    <tableColumn id="2" name="13º (décimo terceiro) Salário, Férias e Adicional de Férias" dataDxfId="284"/>
    <tableColumn id="3" name="Percentual" dataDxfId="285"/>
    <tableColumn id="4" name="Valor" totalsRowFunction="custom">
      <totalsRowFormula>TRUNC((SUM(D37:D38)),2)</totalsRowFormula>
    </tableColumn>
  </tableColumns>
  <tableStyleInfo showFirstColumn="0" showLastColumn="0" showRowStripes="1" showColumnStripes="0"/>
</table>
</file>

<file path=xl/tables/table91.xml><?xml version="1.0" encoding="utf-8"?>
<table xmlns="http://schemas.openxmlformats.org/spreadsheetml/2006/main" id="119" name="ResumoMódulo461" displayName="ResumoMódulo461" ref="A107:D110" totalsRowCount="1">
  <autoFilter ref="A107:D109"/>
  <tableColumns count="4">
    <tableColumn id="1" name="4" totalsRowLabel="Total" dataDxfId="286"/>
    <tableColumn id="2" name="Custo de Reposição do Profissional Ausente" dataDxfId="287"/>
    <tableColumn id="3" name="Comentário" totalsRowLabel="*Nota: Se o titular USUFRUIR do descanso intrajornada, o total é o somatório dos subitens 4.1 e 4.2" dataDxfId="288"/>
    <tableColumn id="4" name="Valor" totalsRowFunction="custom">
      <totalsRowFormula>TRUNC((SUM(D108:D109)),2)</totalsRowFormula>
    </tableColumn>
  </tableColumns>
  <tableStyleInfo showFirstColumn="0" showLastColumn="0" showRowStripes="1" showColumnStripes="0"/>
</table>
</file>

<file path=xl/tables/table92.xml><?xml version="1.0" encoding="utf-8"?>
<table xmlns="http://schemas.openxmlformats.org/spreadsheetml/2006/main" id="120" name="Submódulo2.255" displayName="Submódulo2.255" ref="A46:D55" totalsRowCount="1">
  <autoFilter ref="A46:D54"/>
  <tableColumns count="4">
    <tableColumn id="1" name="2.2" totalsRowLabel="Total" dataDxfId="289"/>
    <tableColumn id="2" name="GPS, FGTS e outras contribuições" dataDxfId="290"/>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93.xml><?xml version="1.0" encoding="utf-8"?>
<table xmlns="http://schemas.openxmlformats.org/spreadsheetml/2006/main" id="121" name="ResumoPosto64" displayName="ResumoPosto64" ref="A140:D148" totalsRowShown="0">
  <autoFilter ref="A140:D148"/>
  <tableColumns count="4">
    <tableColumn id="1" name="Item" dataDxfId="291"/>
    <tableColumn id="2" name="Mão de obra vinculada à execução contratual" dataDxfId="292"/>
    <tableColumn id="3" name="-" dataDxfId="293"/>
    <tableColumn id="4" name="Valor" dataDxfId="294"/>
  </tableColumns>
  <tableStyleInfo showFirstColumn="0" showLastColumn="0" showRowStripes="1" showColumnStripes="0"/>
</table>
</file>

<file path=xl/tables/table94.xml><?xml version="1.0" encoding="utf-8"?>
<table xmlns="http://schemas.openxmlformats.org/spreadsheetml/2006/main" id="122" name="Módulo153" displayName="Módulo153" ref="A24:D31" totalsRowCount="1">
  <autoFilter ref="A24:D30"/>
  <tableColumns count="4">
    <tableColumn id="1" name="1" totalsRowLabel="Total" dataDxfId="295"/>
    <tableColumn id="2" name="Composição da Remuneração" dataDxfId="296"/>
    <tableColumn id="3" name="Comentário" dataDxfId="297"/>
    <tableColumn id="4" name="Valor" totalsRowFunction="custom">
      <totalsRowFormula>TRUNC((SUM(D25:D30)),2)</totalsRowFormula>
    </tableColumn>
  </tableColumns>
  <tableStyleInfo showFirstColumn="0" showLastColumn="0" showRowStripes="1" showColumnStripes="0"/>
</table>
</file>

<file path=xl/tables/table95.xml><?xml version="1.0" encoding="utf-8"?>
<table xmlns="http://schemas.openxmlformats.org/spreadsheetml/2006/main" id="123" name="Submódulo2.356" displayName="Submódulo2.356" ref="A58:D66" totalsRowCount="1">
  <autoFilter ref="A58:D65"/>
  <tableColumns count="4">
    <tableColumn id="1" name="2.3" totalsRowLabel="Total" dataDxfId="298"/>
    <tableColumn id="2" name="Benefícios Mensais e Diários" dataDxfId="299"/>
    <tableColumn id="3" name="Comentário" dataDxfId="300"/>
    <tableColumn id="4" name="Valor" totalsRowFunction="custom">
      <totalsRowFormula>TRUNC((SUM(D59:D65)),2)</totalsRowFormula>
    </tableColumn>
  </tableColumns>
  <tableStyleInfo showFirstColumn="0" showLastColumn="0" showRowStripes="1" showColumnStripes="0"/>
</table>
</file>

<file path=xl/tables/table96.xml><?xml version="1.0" encoding="utf-8"?>
<table xmlns="http://schemas.openxmlformats.org/spreadsheetml/2006/main" id="124" name="Submódulo4.159" displayName="Submódulo4.159" ref="A92:D99" totalsRowCount="1">
  <autoFilter ref="A92:D98"/>
  <tableColumns count="4">
    <tableColumn id="1" name="4.1" totalsRowLabel="Total" dataDxfId="301"/>
    <tableColumn id="2" name="Substituto nas Ausências Legais" dataDxfId="302"/>
    <tableColumn id="3" name="Percentual" totalsRowFunction="sum" dataDxfId="303"/>
    <tableColumn id="4" name="Valor" totalsRowFunction="custom">
      <totalsRowFormula>TRUNC((SUM(D93:D98)),2)</totalsRowFormula>
    </tableColumn>
  </tableColumns>
  <tableStyleInfo showFirstColumn="0" showLastColumn="0" showRowStripes="1" showColumnStripes="0"/>
</table>
</file>

<file path=xl/tables/table97.xml><?xml version="1.0" encoding="utf-8"?>
<table xmlns="http://schemas.openxmlformats.org/spreadsheetml/2006/main" id="125" name="Submódulo4.260" displayName="Submódulo4.260" ref="A102:D104" totalsRowCount="1">
  <autoFilter ref="A102:D103"/>
  <tableColumns count="4">
    <tableColumn id="1" name="4.2" totalsRowLabel="Total" dataDxfId="304"/>
    <tableColumn id="2" name="Substituto na Intrajornada " dataDxfId="305"/>
    <tableColumn id="3" name="Comentário" dataDxfId="306"/>
    <tableColumn id="4" name="Valor" totalsRowFunction="custom">
      <totalsRowFormula>D103</totalsRowFormula>
    </tableColumn>
  </tableColumns>
  <tableStyleInfo showFirstColumn="0" showLastColumn="0" showRowStripes="1" showColumnStripes="0"/>
</table>
</file>

<file path=xl/tables/table98.xml><?xml version="1.0" encoding="utf-8"?>
<table xmlns="http://schemas.openxmlformats.org/spreadsheetml/2006/main" id="126" name="Table452" displayName="Table452" ref="A16:D21" totalsRowShown="0">
  <tableColumns count="4">
    <tableColumn id="1" name="Item" dataDxfId="307"/>
    <tableColumn id="2" name="Descrição" dataDxfId="308"/>
    <tableColumn id="3" name="Comentário" dataDxfId="309"/>
    <tableColumn id="4" name="Valor" dataDxfId="310"/>
  </tableColumns>
  <tableStyleInfo showFirstColumn="0" showLastColumn="0" showRowStripes="1" showColumnStripes="0"/>
</table>
</file>

<file path=xl/tables/table99.xml><?xml version="1.0" encoding="utf-8"?>
<table xmlns="http://schemas.openxmlformats.org/spreadsheetml/2006/main" id="127" name="Módulo358" displayName="Módulo358" ref="A76:D83" totalsRowCount="1">
  <autoFilter ref="A76:D82"/>
  <tableColumns count="4">
    <tableColumn id="1" name="3" totalsRowLabel="Total" dataDxfId="311"/>
    <tableColumn id="2" name="Provisão para Rescisão" dataDxfId="312"/>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1.xml.rels><?xml version="1.0" encoding="UTF-8" standalone="yes"?>
<Relationships xmlns="http://schemas.openxmlformats.org/package/2006/relationships"><Relationship Id="rId1" Type="http://schemas.openxmlformats.org/officeDocument/2006/relationships/table" Target="../tables/table102.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03.xml"/></Relationships>
</file>

<file path=xl/worksheets/_rels/sheet2.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9" Type="http://schemas.openxmlformats.org/officeDocument/2006/relationships/table" Target="../tables/table31.xml"/><Relationship Id="rId8" Type="http://schemas.openxmlformats.org/officeDocument/2006/relationships/table" Target="../tables/table30.xml"/><Relationship Id="rId7" Type="http://schemas.openxmlformats.org/officeDocument/2006/relationships/table" Target="../tables/table29.xml"/><Relationship Id="rId6" Type="http://schemas.openxmlformats.org/officeDocument/2006/relationships/table" Target="../tables/table28.xml"/><Relationship Id="rId5" Type="http://schemas.openxmlformats.org/officeDocument/2006/relationships/table" Target="../tables/table27.xml"/><Relationship Id="rId4" Type="http://schemas.openxmlformats.org/officeDocument/2006/relationships/table" Target="../tables/table26.xml"/><Relationship Id="rId3" Type="http://schemas.openxmlformats.org/officeDocument/2006/relationships/table" Target="../tables/table25.xml"/><Relationship Id="rId2" Type="http://schemas.openxmlformats.org/officeDocument/2006/relationships/table" Target="../tables/table24.xml"/><Relationship Id="rId13" Type="http://schemas.openxmlformats.org/officeDocument/2006/relationships/table" Target="../tables/table35.xml"/><Relationship Id="rId12" Type="http://schemas.openxmlformats.org/officeDocument/2006/relationships/table" Target="../tables/table34.xml"/><Relationship Id="rId11" Type="http://schemas.openxmlformats.org/officeDocument/2006/relationships/table" Target="../tables/table33.xml"/><Relationship Id="rId10" Type="http://schemas.openxmlformats.org/officeDocument/2006/relationships/table" Target="../tables/table32.xml"/><Relationship Id="rId1" Type="http://schemas.openxmlformats.org/officeDocument/2006/relationships/table" Target="../tables/table23.xml"/></Relationships>
</file>

<file path=xl/worksheets/_rels/sheet4.xml.rels><?xml version="1.0" encoding="UTF-8" standalone="yes"?>
<Relationships xmlns="http://schemas.openxmlformats.org/package/2006/relationships"><Relationship Id="rId9" Type="http://schemas.openxmlformats.org/officeDocument/2006/relationships/table" Target="../tables/table44.xml"/><Relationship Id="rId8" Type="http://schemas.openxmlformats.org/officeDocument/2006/relationships/table" Target="../tables/table43.xml"/><Relationship Id="rId7" Type="http://schemas.openxmlformats.org/officeDocument/2006/relationships/table" Target="../tables/table42.xml"/><Relationship Id="rId6" Type="http://schemas.openxmlformats.org/officeDocument/2006/relationships/table" Target="../tables/table41.xml"/><Relationship Id="rId5" Type="http://schemas.openxmlformats.org/officeDocument/2006/relationships/table" Target="../tables/table40.xml"/><Relationship Id="rId4" Type="http://schemas.openxmlformats.org/officeDocument/2006/relationships/table" Target="../tables/table39.xml"/><Relationship Id="rId3" Type="http://schemas.openxmlformats.org/officeDocument/2006/relationships/table" Target="../tables/table38.xml"/><Relationship Id="rId2" Type="http://schemas.openxmlformats.org/officeDocument/2006/relationships/table" Target="../tables/table37.xml"/><Relationship Id="rId13" Type="http://schemas.openxmlformats.org/officeDocument/2006/relationships/table" Target="../tables/table48.xml"/><Relationship Id="rId12" Type="http://schemas.openxmlformats.org/officeDocument/2006/relationships/table" Target="../tables/table47.xml"/><Relationship Id="rId11" Type="http://schemas.openxmlformats.org/officeDocument/2006/relationships/table" Target="../tables/table46.xml"/><Relationship Id="rId10" Type="http://schemas.openxmlformats.org/officeDocument/2006/relationships/table" Target="../tables/table45.xml"/><Relationship Id="rId1" Type="http://schemas.openxmlformats.org/officeDocument/2006/relationships/table" Target="../tables/table36.xml"/></Relationships>
</file>

<file path=xl/worksheets/_rels/sheet5.xml.rels><?xml version="1.0" encoding="UTF-8" standalone="yes"?>
<Relationships xmlns="http://schemas.openxmlformats.org/package/2006/relationships"><Relationship Id="rId9" Type="http://schemas.openxmlformats.org/officeDocument/2006/relationships/table" Target="../tables/table57.xml"/><Relationship Id="rId8" Type="http://schemas.openxmlformats.org/officeDocument/2006/relationships/table" Target="../tables/table56.xml"/><Relationship Id="rId7" Type="http://schemas.openxmlformats.org/officeDocument/2006/relationships/table" Target="../tables/table55.xml"/><Relationship Id="rId6" Type="http://schemas.openxmlformats.org/officeDocument/2006/relationships/table" Target="../tables/table54.xml"/><Relationship Id="rId5" Type="http://schemas.openxmlformats.org/officeDocument/2006/relationships/table" Target="../tables/table53.xml"/><Relationship Id="rId4" Type="http://schemas.openxmlformats.org/officeDocument/2006/relationships/table" Target="../tables/table52.xml"/><Relationship Id="rId3" Type="http://schemas.openxmlformats.org/officeDocument/2006/relationships/table" Target="../tables/table51.xml"/><Relationship Id="rId2" Type="http://schemas.openxmlformats.org/officeDocument/2006/relationships/table" Target="../tables/table50.xml"/><Relationship Id="rId13" Type="http://schemas.openxmlformats.org/officeDocument/2006/relationships/table" Target="../tables/table61.xml"/><Relationship Id="rId12" Type="http://schemas.openxmlformats.org/officeDocument/2006/relationships/table" Target="../tables/table60.xml"/><Relationship Id="rId11" Type="http://schemas.openxmlformats.org/officeDocument/2006/relationships/table" Target="../tables/table59.xml"/><Relationship Id="rId10" Type="http://schemas.openxmlformats.org/officeDocument/2006/relationships/table" Target="../tables/table58.xml"/><Relationship Id="rId1" Type="http://schemas.openxmlformats.org/officeDocument/2006/relationships/table" Target="../tables/table49.xml"/></Relationships>
</file>

<file path=xl/worksheets/_rels/sheet6.xml.rels><?xml version="1.0" encoding="UTF-8" standalone="yes"?>
<Relationships xmlns="http://schemas.openxmlformats.org/package/2006/relationships"><Relationship Id="rId9" Type="http://schemas.openxmlformats.org/officeDocument/2006/relationships/table" Target="../tables/table70.xml"/><Relationship Id="rId8" Type="http://schemas.openxmlformats.org/officeDocument/2006/relationships/table" Target="../tables/table69.xml"/><Relationship Id="rId7" Type="http://schemas.openxmlformats.org/officeDocument/2006/relationships/table" Target="../tables/table68.xml"/><Relationship Id="rId6" Type="http://schemas.openxmlformats.org/officeDocument/2006/relationships/table" Target="../tables/table67.xml"/><Relationship Id="rId5" Type="http://schemas.openxmlformats.org/officeDocument/2006/relationships/table" Target="../tables/table66.xml"/><Relationship Id="rId4" Type="http://schemas.openxmlformats.org/officeDocument/2006/relationships/table" Target="../tables/table65.xml"/><Relationship Id="rId3" Type="http://schemas.openxmlformats.org/officeDocument/2006/relationships/table" Target="../tables/table64.xml"/><Relationship Id="rId2" Type="http://schemas.openxmlformats.org/officeDocument/2006/relationships/table" Target="../tables/table63.xml"/><Relationship Id="rId13" Type="http://schemas.openxmlformats.org/officeDocument/2006/relationships/table" Target="../tables/table74.xml"/><Relationship Id="rId12" Type="http://schemas.openxmlformats.org/officeDocument/2006/relationships/table" Target="../tables/table73.xml"/><Relationship Id="rId11" Type="http://schemas.openxmlformats.org/officeDocument/2006/relationships/table" Target="../tables/table72.xml"/><Relationship Id="rId10" Type="http://schemas.openxmlformats.org/officeDocument/2006/relationships/table" Target="../tables/table71.xml"/><Relationship Id="rId1" Type="http://schemas.openxmlformats.org/officeDocument/2006/relationships/table" Target="../tables/table62.xml"/></Relationships>
</file>

<file path=xl/worksheets/_rels/sheet7.xml.rels><?xml version="1.0" encoding="UTF-8" standalone="yes"?>
<Relationships xmlns="http://schemas.openxmlformats.org/package/2006/relationships"><Relationship Id="rId9" Type="http://schemas.openxmlformats.org/officeDocument/2006/relationships/table" Target="../tables/table83.xml"/><Relationship Id="rId8" Type="http://schemas.openxmlformats.org/officeDocument/2006/relationships/table" Target="../tables/table82.xml"/><Relationship Id="rId7" Type="http://schemas.openxmlformats.org/officeDocument/2006/relationships/table" Target="../tables/table81.xml"/><Relationship Id="rId6" Type="http://schemas.openxmlformats.org/officeDocument/2006/relationships/table" Target="../tables/table80.xml"/><Relationship Id="rId5" Type="http://schemas.openxmlformats.org/officeDocument/2006/relationships/table" Target="../tables/table79.xml"/><Relationship Id="rId4" Type="http://schemas.openxmlformats.org/officeDocument/2006/relationships/table" Target="../tables/table78.xml"/><Relationship Id="rId3" Type="http://schemas.openxmlformats.org/officeDocument/2006/relationships/table" Target="../tables/table77.xml"/><Relationship Id="rId2" Type="http://schemas.openxmlformats.org/officeDocument/2006/relationships/table" Target="../tables/table76.xml"/><Relationship Id="rId13" Type="http://schemas.openxmlformats.org/officeDocument/2006/relationships/table" Target="../tables/table87.xml"/><Relationship Id="rId12" Type="http://schemas.openxmlformats.org/officeDocument/2006/relationships/table" Target="../tables/table86.xml"/><Relationship Id="rId11" Type="http://schemas.openxmlformats.org/officeDocument/2006/relationships/table" Target="../tables/table85.xml"/><Relationship Id="rId10" Type="http://schemas.openxmlformats.org/officeDocument/2006/relationships/table" Target="../tables/table84.xml"/><Relationship Id="rId1" Type="http://schemas.openxmlformats.org/officeDocument/2006/relationships/table" Target="../tables/table75.xml"/></Relationships>
</file>

<file path=xl/worksheets/_rels/sheet8.xml.rels><?xml version="1.0" encoding="UTF-8" standalone="yes"?>
<Relationships xmlns="http://schemas.openxmlformats.org/package/2006/relationships"><Relationship Id="rId9" Type="http://schemas.openxmlformats.org/officeDocument/2006/relationships/table" Target="../tables/table96.xml"/><Relationship Id="rId8" Type="http://schemas.openxmlformats.org/officeDocument/2006/relationships/table" Target="../tables/table95.xml"/><Relationship Id="rId7" Type="http://schemas.openxmlformats.org/officeDocument/2006/relationships/table" Target="../tables/table94.xml"/><Relationship Id="rId6" Type="http://schemas.openxmlformats.org/officeDocument/2006/relationships/table" Target="../tables/table93.xml"/><Relationship Id="rId5" Type="http://schemas.openxmlformats.org/officeDocument/2006/relationships/table" Target="../tables/table92.xml"/><Relationship Id="rId4" Type="http://schemas.openxmlformats.org/officeDocument/2006/relationships/table" Target="../tables/table91.xml"/><Relationship Id="rId3" Type="http://schemas.openxmlformats.org/officeDocument/2006/relationships/table" Target="../tables/table90.xml"/><Relationship Id="rId2" Type="http://schemas.openxmlformats.org/officeDocument/2006/relationships/table" Target="../tables/table89.xml"/><Relationship Id="rId13" Type="http://schemas.openxmlformats.org/officeDocument/2006/relationships/table" Target="../tables/table100.xml"/><Relationship Id="rId12" Type="http://schemas.openxmlformats.org/officeDocument/2006/relationships/table" Target="../tables/table99.xml"/><Relationship Id="rId11" Type="http://schemas.openxmlformats.org/officeDocument/2006/relationships/table" Target="../tables/table98.xml"/><Relationship Id="rId10" Type="http://schemas.openxmlformats.org/officeDocument/2006/relationships/table" Target="../tables/table97.xml"/><Relationship Id="rId1" Type="http://schemas.openxmlformats.org/officeDocument/2006/relationships/table" Target="../tables/table88.xml"/></Relationships>
</file>

<file path=xl/worksheets/_rels/sheet9.xml.rels><?xml version="1.0" encoding="UTF-8" standalone="yes"?>
<Relationships xmlns="http://schemas.openxmlformats.org/package/2006/relationships"><Relationship Id="rId1" Type="http://schemas.openxmlformats.org/officeDocument/2006/relationships/table" Target="../tables/table10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showGridLines="0" workbookViewId="0">
      <selection activeCell="A1" sqref="A1:K1"/>
    </sheetView>
  </sheetViews>
  <sheetFormatPr defaultColWidth="9" defaultRowHeight="14.4"/>
  <cols>
    <col min="1" max="1025" width="9" customWidth="1"/>
  </cols>
  <sheetData>
    <row r="1" spans="1:11">
      <c r="A1" s="197" t="s">
        <v>0</v>
      </c>
      <c r="B1" s="197"/>
      <c r="C1" s="197"/>
      <c r="D1" s="197"/>
      <c r="E1" s="197"/>
      <c r="F1" s="197"/>
      <c r="G1" s="197"/>
      <c r="H1" s="197"/>
      <c r="I1" s="197"/>
      <c r="J1" s="197"/>
      <c r="K1" s="197"/>
    </row>
    <row r="2" ht="57" customHeight="1" spans="1:11">
      <c r="A2" s="198" t="s">
        <v>1</v>
      </c>
      <c r="B2" s="198"/>
      <c r="C2" s="198"/>
      <c r="D2" s="198"/>
      <c r="E2" s="198"/>
      <c r="F2" s="198"/>
      <c r="G2" s="198"/>
      <c r="H2" s="198"/>
      <c r="I2" s="198"/>
      <c r="J2" s="198"/>
      <c r="K2" s="198"/>
    </row>
    <row r="3" ht="51" customHeight="1" spans="1:11">
      <c r="A3" s="198" t="s">
        <v>2</v>
      </c>
      <c r="B3" s="198"/>
      <c r="C3" s="198"/>
      <c r="D3" s="198"/>
      <c r="E3" s="198"/>
      <c r="F3" s="198"/>
      <c r="G3" s="198"/>
      <c r="H3" s="198"/>
      <c r="I3" s="198"/>
      <c r="J3" s="198"/>
      <c r="K3" s="198"/>
    </row>
    <row r="4" ht="54.75" customHeight="1" spans="1:11">
      <c r="A4" s="198" t="s">
        <v>3</v>
      </c>
      <c r="B4" s="198"/>
      <c r="C4" s="198"/>
      <c r="D4" s="198"/>
      <c r="E4" s="198"/>
      <c r="F4" s="198"/>
      <c r="G4" s="198"/>
      <c r="H4" s="198"/>
      <c r="I4" s="198"/>
      <c r="J4" s="198"/>
      <c r="K4" s="198"/>
    </row>
    <row r="5" ht="67.5" customHeight="1" spans="1:11">
      <c r="A5" s="199" t="s">
        <v>4</v>
      </c>
      <c r="B5" s="199"/>
      <c r="C5" s="199"/>
      <c r="D5" s="199"/>
      <c r="E5" s="199"/>
      <c r="F5" s="199"/>
      <c r="G5" s="199"/>
      <c r="H5" s="199"/>
      <c r="I5" s="199"/>
      <c r="J5" s="199"/>
      <c r="K5" s="199"/>
    </row>
    <row r="6" ht="84.75" customHeight="1" spans="1:11">
      <c r="A6" s="199" t="s">
        <v>5</v>
      </c>
      <c r="B6" s="199"/>
      <c r="C6" s="199"/>
      <c r="D6" s="199"/>
      <c r="E6" s="199"/>
      <c r="F6" s="199"/>
      <c r="G6" s="199"/>
      <c r="H6" s="199"/>
      <c r="I6" s="199"/>
      <c r="J6" s="199"/>
      <c r="K6" s="199"/>
    </row>
    <row r="7" ht="49.5" customHeight="1" spans="1:11">
      <c r="A7" s="199" t="s">
        <v>6</v>
      </c>
      <c r="B7" s="199"/>
      <c r="C7" s="199"/>
      <c r="D7" s="199"/>
      <c r="E7" s="199"/>
      <c r="F7" s="199"/>
      <c r="G7" s="199"/>
      <c r="H7" s="199"/>
      <c r="I7" s="199"/>
      <c r="J7" s="199"/>
      <c r="K7" s="199"/>
    </row>
    <row r="8" ht="38.25" customHeight="1" spans="1:11">
      <c r="A8" s="199" t="s">
        <v>7</v>
      </c>
      <c r="B8" s="199"/>
      <c r="C8" s="199"/>
      <c r="D8" s="199"/>
      <c r="E8" s="199"/>
      <c r="F8" s="199"/>
      <c r="G8" s="199"/>
      <c r="H8" s="199"/>
      <c r="I8" s="199"/>
      <c r="J8" s="199"/>
      <c r="K8" s="199"/>
    </row>
    <row r="9" ht="39.75" customHeight="1" spans="1:11">
      <c r="A9" s="198" t="s">
        <v>8</v>
      </c>
      <c r="B9" s="198"/>
      <c r="C9" s="198"/>
      <c r="D9" s="198"/>
      <c r="E9" s="198"/>
      <c r="F9" s="198"/>
      <c r="G9" s="198"/>
      <c r="H9" s="198"/>
      <c r="I9" s="198"/>
      <c r="J9" s="198"/>
      <c r="K9" s="198"/>
    </row>
    <row r="10" ht="41.25" customHeight="1" spans="1:11">
      <c r="A10" s="198" t="s">
        <v>9</v>
      </c>
      <c r="B10" s="198"/>
      <c r="C10" s="198"/>
      <c r="D10" s="198"/>
      <c r="E10" s="198"/>
      <c r="F10" s="198"/>
      <c r="G10" s="198"/>
      <c r="H10" s="198"/>
      <c r="I10" s="198"/>
      <c r="J10" s="198"/>
      <c r="K10" s="198"/>
    </row>
    <row r="11" ht="41.25" customHeight="1" spans="1:11">
      <c r="A11" s="200" t="s">
        <v>10</v>
      </c>
      <c r="B11" s="200"/>
      <c r="C11" s="200"/>
      <c r="D11" s="200"/>
      <c r="E11" s="200"/>
      <c r="F11" s="200"/>
      <c r="G11" s="200"/>
      <c r="H11" s="200"/>
      <c r="I11" s="200"/>
      <c r="J11" s="200"/>
      <c r="K11" s="200"/>
    </row>
    <row r="12" spans="1:11">
      <c r="A12" s="201" t="s">
        <v>11</v>
      </c>
      <c r="B12" s="201"/>
      <c r="C12" s="201"/>
      <c r="D12" s="201"/>
      <c r="E12" s="201"/>
      <c r="F12" s="201"/>
      <c r="G12" s="201"/>
      <c r="H12" s="201"/>
      <c r="I12" s="201"/>
      <c r="J12" s="201"/>
      <c r="K12" s="201"/>
    </row>
    <row r="13" spans="1:11">
      <c r="A13" s="202" t="s">
        <v>12</v>
      </c>
      <c r="B13" s="202"/>
      <c r="C13" s="202"/>
      <c r="D13" s="202"/>
      <c r="E13" s="202"/>
      <c r="F13" s="202"/>
      <c r="G13" s="202"/>
      <c r="H13" s="202"/>
      <c r="I13" s="202"/>
      <c r="J13" s="202"/>
      <c r="K13" s="202"/>
    </row>
    <row r="14" spans="1:11">
      <c r="A14" s="202" t="s">
        <v>13</v>
      </c>
      <c r="B14" s="202"/>
      <c r="C14" s="202"/>
      <c r="D14" s="202"/>
      <c r="E14" s="202"/>
      <c r="F14" s="202"/>
      <c r="G14" s="202"/>
      <c r="H14" s="202"/>
      <c r="I14" s="202"/>
      <c r="J14" s="202"/>
      <c r="K14" s="202"/>
    </row>
  </sheetData>
  <sheetProtection sheet="1" objects="1" scenarios="1"/>
  <mergeCells count="14">
    <mergeCell ref="A1:K1"/>
    <mergeCell ref="A2:K2"/>
    <mergeCell ref="A3:K3"/>
    <mergeCell ref="A4:K4"/>
    <mergeCell ref="A5:K5"/>
    <mergeCell ref="A6:K6"/>
    <mergeCell ref="A7:K7"/>
    <mergeCell ref="A8:K8"/>
    <mergeCell ref="A9:K9"/>
    <mergeCell ref="A10:K10"/>
    <mergeCell ref="A11:K11"/>
    <mergeCell ref="A12:K12"/>
    <mergeCell ref="A13:K13"/>
    <mergeCell ref="A14:K14"/>
  </mergeCells>
  <pageMargins left="0.7" right="0.7" top="0.75" bottom="0.75" header="0.511805555555555" footer="0.511805555555555"/>
  <pageSetup paperSize="9" firstPageNumber="0" orientation="portrait" useFirstPageNumber="1" horizontalDpi="300" verticalDpi="3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selection activeCell="E21" sqref="E21:F21"/>
    </sheetView>
  </sheetViews>
  <sheetFormatPr defaultColWidth="9.13888888888889" defaultRowHeight="14.4" outlineLevelCol="5"/>
  <cols>
    <col min="2" max="2" width="57.287037037037" customWidth="1"/>
    <col min="3" max="3" width="18.5740740740741" customWidth="1"/>
    <col min="4" max="4" width="17.5740740740741" customWidth="1"/>
    <col min="5" max="6" width="11.4444444444444" customWidth="1"/>
  </cols>
  <sheetData>
    <row r="1" spans="1:6">
      <c r="A1" s="42" t="s">
        <v>313</v>
      </c>
      <c r="B1" s="42"/>
      <c r="C1" s="42"/>
      <c r="D1" s="42"/>
      <c r="E1" s="42"/>
      <c r="F1" s="42"/>
    </row>
    <row r="2" ht="30" customHeight="1" spans="1:6">
      <c r="A2" s="43" t="s">
        <v>260</v>
      </c>
      <c r="B2" s="43" t="s">
        <v>262</v>
      </c>
      <c r="C2" s="43" t="s">
        <v>263</v>
      </c>
      <c r="D2" s="43" t="s">
        <v>265</v>
      </c>
      <c r="E2" s="43" t="s">
        <v>223</v>
      </c>
      <c r="F2" s="43" t="s">
        <v>224</v>
      </c>
    </row>
    <row r="3" spans="1:6">
      <c r="A3" s="43"/>
      <c r="B3" s="43"/>
      <c r="C3" s="43"/>
      <c r="D3" s="43"/>
      <c r="E3" s="43"/>
      <c r="F3" s="43"/>
    </row>
    <row r="4" spans="1:6">
      <c r="A4" s="43"/>
      <c r="B4" s="43"/>
      <c r="C4" s="43"/>
      <c r="D4" s="43"/>
      <c r="E4" s="43"/>
      <c r="F4" s="43"/>
    </row>
    <row r="5" ht="15" customHeight="1" spans="1:4">
      <c r="A5" s="44">
        <v>1</v>
      </c>
      <c r="B5" s="45" t="s">
        <v>314</v>
      </c>
      <c r="C5" s="45"/>
      <c r="D5" s="45"/>
    </row>
    <row r="6" spans="1:6">
      <c r="A6" s="44"/>
      <c r="B6" s="46" t="s">
        <v>315</v>
      </c>
      <c r="C6" s="47" t="s">
        <v>270</v>
      </c>
      <c r="D6" s="48">
        <v>1</v>
      </c>
      <c r="E6" s="17">
        <v>17.7</v>
      </c>
      <c r="F6" s="17">
        <f>TRUNC(E6*D6,2)</f>
        <v>17.7</v>
      </c>
    </row>
    <row r="7" spans="1:6">
      <c r="A7" s="44"/>
      <c r="B7" s="46" t="s">
        <v>316</v>
      </c>
      <c r="C7" s="47" t="s">
        <v>270</v>
      </c>
      <c r="D7" s="48">
        <v>1</v>
      </c>
      <c r="E7" s="17">
        <v>2.27</v>
      </c>
      <c r="F7" s="17">
        <f t="shared" ref="F7:F18" si="0">TRUNC(E7*D7,2)</f>
        <v>2.27</v>
      </c>
    </row>
    <row r="8" spans="1:6">
      <c r="A8" s="44"/>
      <c r="B8" s="46" t="s">
        <v>317</v>
      </c>
      <c r="C8" s="47" t="s">
        <v>318</v>
      </c>
      <c r="D8" s="48">
        <v>1</v>
      </c>
      <c r="E8" s="17">
        <v>24</v>
      </c>
      <c r="F8" s="17">
        <f t="shared" si="0"/>
        <v>24</v>
      </c>
    </row>
    <row r="9" spans="1:6">
      <c r="A9" s="44"/>
      <c r="B9" s="46" t="s">
        <v>319</v>
      </c>
      <c r="C9" s="47" t="s">
        <v>318</v>
      </c>
      <c r="D9" s="48">
        <v>1</v>
      </c>
      <c r="E9" s="17">
        <v>8.9</v>
      </c>
      <c r="F9" s="17">
        <f t="shared" si="0"/>
        <v>8.9</v>
      </c>
    </row>
    <row r="10" spans="1:6">
      <c r="A10" s="44"/>
      <c r="B10" s="46" t="s">
        <v>320</v>
      </c>
      <c r="C10" s="47" t="s">
        <v>321</v>
      </c>
      <c r="D10" s="48">
        <v>10</v>
      </c>
      <c r="E10" s="17">
        <v>10.35</v>
      </c>
      <c r="F10" s="17">
        <f t="shared" si="0"/>
        <v>103.5</v>
      </c>
    </row>
    <row r="11" spans="1:6">
      <c r="A11" s="44"/>
      <c r="B11" s="46" t="s">
        <v>322</v>
      </c>
      <c r="C11" s="47" t="s">
        <v>323</v>
      </c>
      <c r="D11" s="48">
        <v>2</v>
      </c>
      <c r="E11" s="17">
        <v>7.99</v>
      </c>
      <c r="F11" s="17">
        <f t="shared" si="0"/>
        <v>15.98</v>
      </c>
    </row>
    <row r="12" spans="1:6">
      <c r="A12" s="44"/>
      <c r="B12" s="46" t="s">
        <v>324</v>
      </c>
      <c r="C12" s="47" t="s">
        <v>323</v>
      </c>
      <c r="D12" s="48">
        <v>5</v>
      </c>
      <c r="E12" s="17">
        <v>3.8</v>
      </c>
      <c r="F12" s="17">
        <f t="shared" si="0"/>
        <v>19</v>
      </c>
    </row>
    <row r="13" spans="1:6">
      <c r="A13" s="44"/>
      <c r="B13" s="46" t="s">
        <v>325</v>
      </c>
      <c r="C13" s="47" t="s">
        <v>326</v>
      </c>
      <c r="D13" s="48">
        <v>2</v>
      </c>
      <c r="E13" s="17">
        <v>4.36</v>
      </c>
      <c r="F13" s="17">
        <f t="shared" si="0"/>
        <v>8.72</v>
      </c>
    </row>
    <row r="14" spans="1:6">
      <c r="A14" s="44"/>
      <c r="B14" s="46" t="s">
        <v>327</v>
      </c>
      <c r="C14" s="47" t="s">
        <v>326</v>
      </c>
      <c r="D14" s="48">
        <v>2</v>
      </c>
      <c r="E14" s="17">
        <v>2.36</v>
      </c>
      <c r="F14" s="17">
        <f t="shared" si="0"/>
        <v>4.72</v>
      </c>
    </row>
    <row r="15" ht="28.8" spans="1:6">
      <c r="A15" s="47">
        <v>2</v>
      </c>
      <c r="B15" s="46" t="s">
        <v>328</v>
      </c>
      <c r="C15" s="47" t="s">
        <v>323</v>
      </c>
      <c r="D15" s="47">
        <v>1</v>
      </c>
      <c r="E15" s="17">
        <v>300</v>
      </c>
      <c r="F15" s="17">
        <f t="shared" si="0"/>
        <v>300</v>
      </c>
    </row>
    <row r="16" spans="1:6">
      <c r="A16" s="47">
        <v>3</v>
      </c>
      <c r="B16" s="46" t="s">
        <v>329</v>
      </c>
      <c r="C16" s="47" t="s">
        <v>278</v>
      </c>
      <c r="D16" s="48">
        <v>1</v>
      </c>
      <c r="E16" s="17">
        <v>1246.85</v>
      </c>
      <c r="F16" s="17">
        <f t="shared" si="0"/>
        <v>1246.85</v>
      </c>
    </row>
    <row r="17" spans="1:6">
      <c r="A17" s="47">
        <v>4</v>
      </c>
      <c r="B17" s="46" t="s">
        <v>330</v>
      </c>
      <c r="C17" s="47" t="s">
        <v>270</v>
      </c>
      <c r="D17" s="48">
        <v>3</v>
      </c>
      <c r="E17" s="17">
        <v>13.52</v>
      </c>
      <c r="F17" s="17">
        <f t="shared" si="0"/>
        <v>40.56</v>
      </c>
    </row>
    <row r="18" spans="1:6">
      <c r="A18" s="47">
        <v>5</v>
      </c>
      <c r="B18" s="46" t="s">
        <v>331</v>
      </c>
      <c r="C18" s="47" t="s">
        <v>270</v>
      </c>
      <c r="D18" s="48">
        <v>6</v>
      </c>
      <c r="E18" s="17">
        <v>44.4</v>
      </c>
      <c r="F18" s="17">
        <f t="shared" si="0"/>
        <v>266.4</v>
      </c>
    </row>
    <row r="19" spans="1:6">
      <c r="A19" s="19" t="s">
        <v>224</v>
      </c>
      <c r="B19" s="19"/>
      <c r="C19" s="19"/>
      <c r="D19" s="19"/>
      <c r="E19" s="21">
        <f>TRUNC(SUM(F6:F18),2)</f>
        <v>2058.6</v>
      </c>
      <c r="F19" s="21"/>
    </row>
    <row r="20" spans="1:6">
      <c r="A20" s="42" t="s">
        <v>332</v>
      </c>
      <c r="B20" s="42"/>
      <c r="C20" s="42"/>
      <c r="D20" s="42"/>
      <c r="E20" s="49">
        <v>7</v>
      </c>
      <c r="F20" s="49"/>
    </row>
    <row r="21" spans="1:6">
      <c r="A21" s="42" t="s">
        <v>333</v>
      </c>
      <c r="B21" s="42"/>
      <c r="C21" s="42"/>
      <c r="D21" s="42"/>
      <c r="E21" s="50">
        <f>TRUNC((E19/E20)/12,2)</f>
        <v>24.5</v>
      </c>
      <c r="F21" s="50"/>
    </row>
  </sheetData>
  <mergeCells count="15">
    <mergeCell ref="A1:F1"/>
    <mergeCell ref="B5:D5"/>
    <mergeCell ref="A19:D19"/>
    <mergeCell ref="E19:F19"/>
    <mergeCell ref="A20:D20"/>
    <mergeCell ref="E20:F20"/>
    <mergeCell ref="A21:D21"/>
    <mergeCell ref="E21:F21"/>
    <mergeCell ref="A2:A4"/>
    <mergeCell ref="A5:A14"/>
    <mergeCell ref="B2:B4"/>
    <mergeCell ref="C2:C4"/>
    <mergeCell ref="D2:D4"/>
    <mergeCell ref="E2:E4"/>
    <mergeCell ref="F2:F4"/>
  </mergeCells>
  <pageMargins left="0.75" right="0.75" top="1" bottom="1" header="0.5" footer="0.5"/>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3"/>
  <sheetViews>
    <sheetView topLeftCell="A7" workbookViewId="0">
      <selection activeCell="A130" sqref="A130:E130"/>
    </sheetView>
  </sheetViews>
  <sheetFormatPr defaultColWidth="9.13888888888889" defaultRowHeight="14.4" outlineLevelCol="5"/>
  <cols>
    <col min="1" max="1" width="5.42592592592593" customWidth="1"/>
    <col min="2" max="2" width="54" customWidth="1"/>
    <col min="3" max="3" width="11.712962962963" customWidth="1"/>
    <col min="4" max="5" width="13" customWidth="1"/>
    <col min="6" max="6" width="16" customWidth="1"/>
    <col min="7" max="7" width="11.4259259259259"/>
  </cols>
  <sheetData>
    <row r="1" spans="1:6">
      <c r="A1" s="10" t="s">
        <v>334</v>
      </c>
      <c r="B1" s="11"/>
      <c r="C1" s="10"/>
      <c r="D1" s="10"/>
      <c r="E1" s="10"/>
      <c r="F1" s="10"/>
    </row>
    <row r="2" ht="43.2" spans="1:6">
      <c r="A2" s="12" t="s">
        <v>260</v>
      </c>
      <c r="B2" s="13" t="s">
        <v>262</v>
      </c>
      <c r="C2" s="12" t="s">
        <v>263</v>
      </c>
      <c r="D2" s="12" t="s">
        <v>335</v>
      </c>
      <c r="E2" s="12" t="s">
        <v>336</v>
      </c>
      <c r="F2" s="12" t="s">
        <v>337</v>
      </c>
    </row>
    <row r="3" ht="28.8" spans="1:6">
      <c r="A3" s="14">
        <v>1</v>
      </c>
      <c r="B3" s="15" t="s">
        <v>338</v>
      </c>
      <c r="C3" s="14" t="s">
        <v>339</v>
      </c>
      <c r="D3" s="14">
        <v>4</v>
      </c>
      <c r="E3" s="16">
        <v>41.04</v>
      </c>
      <c r="F3" s="17">
        <f t="shared" ref="F3:F66" si="0">TRUNC(E3*D3,2)</f>
        <v>164.16</v>
      </c>
    </row>
    <row r="4" ht="28.8" spans="1:6">
      <c r="A4" s="14">
        <v>2</v>
      </c>
      <c r="B4" s="15" t="s">
        <v>340</v>
      </c>
      <c r="C4" s="14" t="s">
        <v>339</v>
      </c>
      <c r="D4" s="14">
        <v>2</v>
      </c>
      <c r="E4" s="16">
        <v>37.8</v>
      </c>
      <c r="F4" s="17">
        <f t="shared" si="0"/>
        <v>75.6</v>
      </c>
    </row>
    <row r="5" ht="28.8" spans="1:6">
      <c r="A5" s="14">
        <v>3</v>
      </c>
      <c r="B5" s="15" t="s">
        <v>341</v>
      </c>
      <c r="C5" s="14" t="s">
        <v>339</v>
      </c>
      <c r="D5" s="14">
        <v>8</v>
      </c>
      <c r="E5" s="16">
        <v>38.81</v>
      </c>
      <c r="F5" s="17">
        <f t="shared" si="0"/>
        <v>310.48</v>
      </c>
    </row>
    <row r="6" ht="28.8" spans="1:6">
      <c r="A6" s="14">
        <v>4</v>
      </c>
      <c r="B6" s="15" t="s">
        <v>342</v>
      </c>
      <c r="C6" s="14" t="s">
        <v>339</v>
      </c>
      <c r="D6" s="14">
        <v>8</v>
      </c>
      <c r="E6" s="16">
        <v>37.2</v>
      </c>
      <c r="F6" s="17">
        <f t="shared" si="0"/>
        <v>297.6</v>
      </c>
    </row>
    <row r="7" ht="57.6" spans="1:6">
      <c r="A7" s="14">
        <v>5</v>
      </c>
      <c r="B7" s="15" t="s">
        <v>343</v>
      </c>
      <c r="C7" s="14" t="s">
        <v>339</v>
      </c>
      <c r="D7" s="14">
        <v>4</v>
      </c>
      <c r="E7" s="16">
        <v>51.88</v>
      </c>
      <c r="F7" s="17">
        <f t="shared" si="0"/>
        <v>207.52</v>
      </c>
    </row>
    <row r="8" ht="57.6" spans="1:6">
      <c r="A8" s="14">
        <v>6</v>
      </c>
      <c r="B8" s="15" t="s">
        <v>344</v>
      </c>
      <c r="C8" s="14" t="s">
        <v>339</v>
      </c>
      <c r="D8" s="14">
        <v>4</v>
      </c>
      <c r="E8" s="16">
        <v>104.65</v>
      </c>
      <c r="F8" s="17">
        <f t="shared" si="0"/>
        <v>418.6</v>
      </c>
    </row>
    <row r="9" ht="43.2" spans="1:6">
      <c r="A9" s="14">
        <v>7</v>
      </c>
      <c r="B9" s="15" t="s">
        <v>345</v>
      </c>
      <c r="C9" s="14" t="s">
        <v>339</v>
      </c>
      <c r="D9" s="14">
        <v>3</v>
      </c>
      <c r="E9" s="16">
        <v>13.19</v>
      </c>
      <c r="F9" s="17">
        <f t="shared" si="0"/>
        <v>39.57</v>
      </c>
    </row>
    <row r="10" ht="43.2" spans="1:6">
      <c r="A10" s="14">
        <v>8</v>
      </c>
      <c r="B10" s="15" t="s">
        <v>346</v>
      </c>
      <c r="C10" s="14" t="s">
        <v>339</v>
      </c>
      <c r="D10" s="14">
        <v>3</v>
      </c>
      <c r="E10" s="16">
        <v>12.01</v>
      </c>
      <c r="F10" s="17">
        <f t="shared" si="0"/>
        <v>36.03</v>
      </c>
    </row>
    <row r="11" ht="43.2" spans="1:6">
      <c r="A11" s="14">
        <v>9</v>
      </c>
      <c r="B11" s="15" t="s">
        <v>347</v>
      </c>
      <c r="C11" s="14" t="s">
        <v>339</v>
      </c>
      <c r="D11" s="14">
        <v>2</v>
      </c>
      <c r="E11" s="16">
        <v>30.5</v>
      </c>
      <c r="F11" s="17">
        <f t="shared" si="0"/>
        <v>61</v>
      </c>
    </row>
    <row r="12" ht="43.2" spans="1:6">
      <c r="A12" s="14">
        <v>10</v>
      </c>
      <c r="B12" s="15" t="s">
        <v>348</v>
      </c>
      <c r="C12" s="14" t="s">
        <v>339</v>
      </c>
      <c r="D12" s="14">
        <v>2</v>
      </c>
      <c r="E12" s="16">
        <v>16.91</v>
      </c>
      <c r="F12" s="17">
        <f t="shared" si="0"/>
        <v>33.82</v>
      </c>
    </row>
    <row r="13" ht="43.2" spans="1:6">
      <c r="A13" s="14">
        <v>11</v>
      </c>
      <c r="B13" s="15" t="s">
        <v>349</v>
      </c>
      <c r="C13" s="14" t="s">
        <v>339</v>
      </c>
      <c r="D13" s="14">
        <v>4</v>
      </c>
      <c r="E13" s="16">
        <v>14.95</v>
      </c>
      <c r="F13" s="17">
        <f t="shared" si="0"/>
        <v>59.8</v>
      </c>
    </row>
    <row r="14" ht="43.2" spans="1:6">
      <c r="A14" s="14">
        <v>12</v>
      </c>
      <c r="B14" s="15" t="s">
        <v>350</v>
      </c>
      <c r="C14" s="14" t="s">
        <v>339</v>
      </c>
      <c r="D14" s="14">
        <v>4</v>
      </c>
      <c r="E14" s="16">
        <v>11.9</v>
      </c>
      <c r="F14" s="17">
        <f t="shared" si="0"/>
        <v>47.6</v>
      </c>
    </row>
    <row r="15" ht="43.2" spans="1:6">
      <c r="A15" s="14">
        <v>13</v>
      </c>
      <c r="B15" s="15" t="s">
        <v>351</v>
      </c>
      <c r="C15" s="14" t="s">
        <v>339</v>
      </c>
      <c r="D15" s="14">
        <v>6</v>
      </c>
      <c r="E15" s="16">
        <v>9.78</v>
      </c>
      <c r="F15" s="17">
        <f t="shared" si="0"/>
        <v>58.68</v>
      </c>
    </row>
    <row r="16" ht="43.2" spans="1:6">
      <c r="A16" s="14">
        <v>14</v>
      </c>
      <c r="B16" s="15" t="s">
        <v>352</v>
      </c>
      <c r="C16" s="14" t="s">
        <v>339</v>
      </c>
      <c r="D16" s="14">
        <v>4</v>
      </c>
      <c r="E16" s="16">
        <v>12.67</v>
      </c>
      <c r="F16" s="17">
        <f t="shared" si="0"/>
        <v>50.68</v>
      </c>
    </row>
    <row r="17" ht="43.2" spans="1:6">
      <c r="A17" s="14">
        <v>15</v>
      </c>
      <c r="B17" s="15" t="s">
        <v>353</v>
      </c>
      <c r="C17" s="14" t="s">
        <v>339</v>
      </c>
      <c r="D17" s="14">
        <v>3</v>
      </c>
      <c r="E17" s="16">
        <v>10.67</v>
      </c>
      <c r="F17" s="17">
        <f t="shared" si="0"/>
        <v>32.01</v>
      </c>
    </row>
    <row r="18" ht="43.2" spans="1:6">
      <c r="A18" s="14">
        <v>16</v>
      </c>
      <c r="B18" s="15" t="s">
        <v>354</v>
      </c>
      <c r="C18" s="14" t="s">
        <v>339</v>
      </c>
      <c r="D18" s="14">
        <v>3</v>
      </c>
      <c r="E18" s="16">
        <v>10.84</v>
      </c>
      <c r="F18" s="17">
        <f t="shared" si="0"/>
        <v>32.52</v>
      </c>
    </row>
    <row r="19" ht="43.2" spans="1:6">
      <c r="A19" s="14">
        <v>17</v>
      </c>
      <c r="B19" s="15" t="s">
        <v>355</v>
      </c>
      <c r="C19" s="14" t="s">
        <v>339</v>
      </c>
      <c r="D19" s="14">
        <v>4</v>
      </c>
      <c r="E19" s="16">
        <v>5.55</v>
      </c>
      <c r="F19" s="17">
        <f t="shared" si="0"/>
        <v>22.2</v>
      </c>
    </row>
    <row r="20" ht="43.2" spans="1:6">
      <c r="A20" s="14">
        <v>18</v>
      </c>
      <c r="B20" s="15" t="s">
        <v>356</v>
      </c>
      <c r="C20" s="14" t="s">
        <v>339</v>
      </c>
      <c r="D20" s="14">
        <v>6</v>
      </c>
      <c r="E20" s="16">
        <v>5.96</v>
      </c>
      <c r="F20" s="17">
        <f t="shared" si="0"/>
        <v>35.76</v>
      </c>
    </row>
    <row r="21" ht="43.2" spans="1:6">
      <c r="A21" s="14">
        <v>19</v>
      </c>
      <c r="B21" s="15" t="s">
        <v>357</v>
      </c>
      <c r="C21" s="14" t="s">
        <v>339</v>
      </c>
      <c r="D21" s="14">
        <v>2</v>
      </c>
      <c r="E21" s="16">
        <v>35.71</v>
      </c>
      <c r="F21" s="17">
        <f t="shared" si="0"/>
        <v>71.42</v>
      </c>
    </row>
    <row r="22" ht="43.2" spans="1:6">
      <c r="A22" s="14">
        <v>20</v>
      </c>
      <c r="B22" s="15" t="s">
        <v>358</v>
      </c>
      <c r="C22" s="14" t="s">
        <v>339</v>
      </c>
      <c r="D22" s="14">
        <v>2</v>
      </c>
      <c r="E22" s="16">
        <v>25.91</v>
      </c>
      <c r="F22" s="17">
        <f t="shared" si="0"/>
        <v>51.82</v>
      </c>
    </row>
    <row r="23" ht="43.2" spans="1:6">
      <c r="A23" s="14">
        <v>21</v>
      </c>
      <c r="B23" s="15" t="s">
        <v>359</v>
      </c>
      <c r="C23" s="14" t="s">
        <v>339</v>
      </c>
      <c r="D23" s="14">
        <v>2</v>
      </c>
      <c r="E23" s="16">
        <v>20.35</v>
      </c>
      <c r="F23" s="17">
        <f t="shared" si="0"/>
        <v>40.7</v>
      </c>
    </row>
    <row r="24" ht="43.2" spans="1:6">
      <c r="A24" s="14">
        <v>22</v>
      </c>
      <c r="B24" s="15" t="s">
        <v>360</v>
      </c>
      <c r="C24" s="14" t="s">
        <v>339</v>
      </c>
      <c r="D24" s="14">
        <v>2</v>
      </c>
      <c r="E24" s="16">
        <v>30.33</v>
      </c>
      <c r="F24" s="17">
        <f t="shared" si="0"/>
        <v>60.66</v>
      </c>
    </row>
    <row r="25" ht="43.2" spans="1:6">
      <c r="A25" s="14">
        <v>23</v>
      </c>
      <c r="B25" s="15" t="s">
        <v>361</v>
      </c>
      <c r="C25" s="14" t="s">
        <v>339</v>
      </c>
      <c r="D25" s="14">
        <v>1</v>
      </c>
      <c r="E25" s="16">
        <v>44.4</v>
      </c>
      <c r="F25" s="17">
        <f t="shared" si="0"/>
        <v>44.4</v>
      </c>
    </row>
    <row r="26" ht="144" spans="1:6">
      <c r="A26" s="14">
        <v>24</v>
      </c>
      <c r="B26" s="15" t="s">
        <v>362</v>
      </c>
      <c r="C26" s="14" t="s">
        <v>339</v>
      </c>
      <c r="D26" s="14">
        <v>1</v>
      </c>
      <c r="E26" s="16">
        <v>55.74</v>
      </c>
      <c r="F26" s="17">
        <f t="shared" si="0"/>
        <v>55.74</v>
      </c>
    </row>
    <row r="27" ht="72" spans="1:6">
      <c r="A27" s="14">
        <v>25</v>
      </c>
      <c r="B27" s="15" t="s">
        <v>363</v>
      </c>
      <c r="C27" s="14" t="s">
        <v>339</v>
      </c>
      <c r="D27" s="14">
        <v>5</v>
      </c>
      <c r="E27" s="16">
        <v>56.9</v>
      </c>
      <c r="F27" s="17">
        <f t="shared" si="0"/>
        <v>284.5</v>
      </c>
    </row>
    <row r="28" ht="72" spans="1:6">
      <c r="A28" s="14">
        <v>26</v>
      </c>
      <c r="B28" s="15" t="s">
        <v>364</v>
      </c>
      <c r="C28" s="14" t="s">
        <v>339</v>
      </c>
      <c r="D28" s="14">
        <v>3</v>
      </c>
      <c r="E28" s="16">
        <v>104.86</v>
      </c>
      <c r="F28" s="17">
        <f t="shared" si="0"/>
        <v>314.58</v>
      </c>
    </row>
    <row r="29" ht="57.6" spans="1:6">
      <c r="A29" s="14">
        <v>27</v>
      </c>
      <c r="B29" s="15" t="s">
        <v>365</v>
      </c>
      <c r="C29" s="14" t="s">
        <v>339</v>
      </c>
      <c r="D29" s="14">
        <v>10</v>
      </c>
      <c r="E29" s="16">
        <v>22.95</v>
      </c>
      <c r="F29" s="17">
        <f t="shared" si="0"/>
        <v>229.5</v>
      </c>
    </row>
    <row r="30" ht="28.8" spans="1:6">
      <c r="A30" s="14">
        <v>28</v>
      </c>
      <c r="B30" s="15" t="s">
        <v>366</v>
      </c>
      <c r="C30" s="14" t="s">
        <v>339</v>
      </c>
      <c r="D30" s="14">
        <v>3</v>
      </c>
      <c r="E30" s="16">
        <v>19.22</v>
      </c>
      <c r="F30" s="17">
        <f t="shared" si="0"/>
        <v>57.66</v>
      </c>
    </row>
    <row r="31" ht="43.2" spans="1:6">
      <c r="A31" s="14">
        <v>29</v>
      </c>
      <c r="B31" s="15" t="s">
        <v>367</v>
      </c>
      <c r="C31" s="14" t="s">
        <v>339</v>
      </c>
      <c r="D31" s="14">
        <v>2</v>
      </c>
      <c r="E31" s="16">
        <v>65.45</v>
      </c>
      <c r="F31" s="17">
        <f t="shared" si="0"/>
        <v>130.9</v>
      </c>
    </row>
    <row r="32" ht="28.8" spans="1:6">
      <c r="A32" s="14">
        <v>30</v>
      </c>
      <c r="B32" s="15" t="s">
        <v>368</v>
      </c>
      <c r="C32" s="14" t="s">
        <v>339</v>
      </c>
      <c r="D32" s="14">
        <v>1</v>
      </c>
      <c r="E32" s="16">
        <v>57.13</v>
      </c>
      <c r="F32" s="17">
        <f t="shared" si="0"/>
        <v>57.13</v>
      </c>
    </row>
    <row r="33" ht="43.2" spans="1:6">
      <c r="A33" s="14">
        <v>31</v>
      </c>
      <c r="B33" s="15" t="s">
        <v>369</v>
      </c>
      <c r="C33" s="14" t="s">
        <v>339</v>
      </c>
      <c r="D33" s="14">
        <v>1</v>
      </c>
      <c r="E33" s="16">
        <v>32.95</v>
      </c>
      <c r="F33" s="17">
        <f t="shared" si="0"/>
        <v>32.95</v>
      </c>
    </row>
    <row r="34" ht="72" spans="1:6">
      <c r="A34" s="14">
        <v>32</v>
      </c>
      <c r="B34" s="15" t="s">
        <v>370</v>
      </c>
      <c r="C34" s="14" t="s">
        <v>339</v>
      </c>
      <c r="D34" s="14">
        <v>1</v>
      </c>
      <c r="E34" s="16">
        <v>24.5</v>
      </c>
      <c r="F34" s="17">
        <f t="shared" si="0"/>
        <v>24.5</v>
      </c>
    </row>
    <row r="35" ht="43.2" spans="1:6">
      <c r="A35" s="14">
        <v>33</v>
      </c>
      <c r="B35" s="15" t="s">
        <v>371</v>
      </c>
      <c r="C35" s="14" t="s">
        <v>339</v>
      </c>
      <c r="D35" s="14">
        <v>1</v>
      </c>
      <c r="E35" s="16">
        <v>32.8</v>
      </c>
      <c r="F35" s="17">
        <f t="shared" si="0"/>
        <v>32.8</v>
      </c>
    </row>
    <row r="36" ht="28.8" spans="1:6">
      <c r="A36" s="14">
        <v>34</v>
      </c>
      <c r="B36" s="15" t="s">
        <v>372</v>
      </c>
      <c r="C36" s="14" t="s">
        <v>339</v>
      </c>
      <c r="D36" s="14">
        <v>6</v>
      </c>
      <c r="E36" s="16">
        <v>28.62</v>
      </c>
      <c r="F36" s="17">
        <f t="shared" si="0"/>
        <v>171.72</v>
      </c>
    </row>
    <row r="37" ht="28.8" spans="1:6">
      <c r="A37" s="14">
        <v>35</v>
      </c>
      <c r="B37" s="15" t="s">
        <v>373</v>
      </c>
      <c r="C37" s="14" t="s">
        <v>339</v>
      </c>
      <c r="D37" s="14">
        <v>2</v>
      </c>
      <c r="E37" s="16">
        <v>32.69</v>
      </c>
      <c r="F37" s="17">
        <f t="shared" si="0"/>
        <v>65.38</v>
      </c>
    </row>
    <row r="38" ht="28.8" spans="1:6">
      <c r="A38" s="14">
        <v>36</v>
      </c>
      <c r="B38" s="15" t="s">
        <v>374</v>
      </c>
      <c r="C38" s="14" t="s">
        <v>339</v>
      </c>
      <c r="D38" s="14">
        <v>2</v>
      </c>
      <c r="E38" s="16">
        <v>31.03</v>
      </c>
      <c r="F38" s="17">
        <f t="shared" si="0"/>
        <v>62.06</v>
      </c>
    </row>
    <row r="39" ht="43.2" spans="1:6">
      <c r="A39" s="14">
        <v>37</v>
      </c>
      <c r="B39" s="15" t="s">
        <v>375</v>
      </c>
      <c r="C39" s="14" t="s">
        <v>339</v>
      </c>
      <c r="D39" s="14">
        <v>3</v>
      </c>
      <c r="E39" s="16">
        <v>33.9</v>
      </c>
      <c r="F39" s="17">
        <f t="shared" si="0"/>
        <v>101.7</v>
      </c>
    </row>
    <row r="40" ht="28.8" spans="1:6">
      <c r="A40" s="14">
        <v>38</v>
      </c>
      <c r="B40" s="15" t="s">
        <v>376</v>
      </c>
      <c r="C40" s="14" t="s">
        <v>339</v>
      </c>
      <c r="D40" s="14">
        <v>3</v>
      </c>
      <c r="E40" s="16">
        <v>68.78</v>
      </c>
      <c r="F40" s="17">
        <f t="shared" si="0"/>
        <v>206.34</v>
      </c>
    </row>
    <row r="41" ht="43.2" spans="1:6">
      <c r="A41" s="14">
        <v>39</v>
      </c>
      <c r="B41" s="15" t="s">
        <v>377</v>
      </c>
      <c r="C41" s="14" t="s">
        <v>339</v>
      </c>
      <c r="D41" s="14">
        <v>2</v>
      </c>
      <c r="E41" s="16">
        <v>83.25</v>
      </c>
      <c r="F41" s="17">
        <f t="shared" si="0"/>
        <v>166.5</v>
      </c>
    </row>
    <row r="42" ht="43.2" spans="1:6">
      <c r="A42" s="14">
        <v>40</v>
      </c>
      <c r="B42" s="15" t="s">
        <v>378</v>
      </c>
      <c r="C42" s="14" t="s">
        <v>339</v>
      </c>
      <c r="D42" s="14">
        <v>2</v>
      </c>
      <c r="E42" s="16">
        <v>20.77</v>
      </c>
      <c r="F42" s="17">
        <f t="shared" si="0"/>
        <v>41.54</v>
      </c>
    </row>
    <row r="43" ht="43.2" spans="1:6">
      <c r="A43" s="14">
        <v>41</v>
      </c>
      <c r="B43" s="15" t="s">
        <v>379</v>
      </c>
      <c r="C43" s="14" t="s">
        <v>339</v>
      </c>
      <c r="D43" s="14">
        <v>2</v>
      </c>
      <c r="E43" s="16">
        <v>15.55</v>
      </c>
      <c r="F43" s="17">
        <f t="shared" si="0"/>
        <v>31.1</v>
      </c>
    </row>
    <row r="44" ht="43.2" spans="1:6">
      <c r="A44" s="14">
        <v>42</v>
      </c>
      <c r="B44" s="15" t="s">
        <v>380</v>
      </c>
      <c r="C44" s="14" t="s">
        <v>339</v>
      </c>
      <c r="D44" s="14">
        <v>2</v>
      </c>
      <c r="E44" s="16">
        <v>22.25</v>
      </c>
      <c r="F44" s="17">
        <f t="shared" si="0"/>
        <v>44.5</v>
      </c>
    </row>
    <row r="45" ht="43.2" spans="1:6">
      <c r="A45" s="14">
        <v>43</v>
      </c>
      <c r="B45" s="15" t="s">
        <v>381</v>
      </c>
      <c r="C45" s="14" t="s">
        <v>339</v>
      </c>
      <c r="D45" s="14">
        <v>2</v>
      </c>
      <c r="E45" s="16">
        <v>65.91</v>
      </c>
      <c r="F45" s="17">
        <f t="shared" si="0"/>
        <v>131.82</v>
      </c>
    </row>
    <row r="46" ht="28.8" spans="1:6">
      <c r="A46" s="14">
        <v>44</v>
      </c>
      <c r="B46" s="15" t="s">
        <v>382</v>
      </c>
      <c r="C46" s="14" t="s">
        <v>339</v>
      </c>
      <c r="D46" s="14">
        <v>2</v>
      </c>
      <c r="E46" s="16">
        <v>101.17</v>
      </c>
      <c r="F46" s="17">
        <f t="shared" si="0"/>
        <v>202.34</v>
      </c>
    </row>
    <row r="47" ht="43.2" spans="1:6">
      <c r="A47" s="14">
        <v>45</v>
      </c>
      <c r="B47" s="15" t="s">
        <v>383</v>
      </c>
      <c r="C47" s="14" t="s">
        <v>339</v>
      </c>
      <c r="D47" s="14">
        <v>4</v>
      </c>
      <c r="E47" s="16">
        <v>31.13</v>
      </c>
      <c r="F47" s="17">
        <f t="shared" si="0"/>
        <v>124.52</v>
      </c>
    </row>
    <row r="48" ht="43.2" spans="1:6">
      <c r="A48" s="14">
        <v>46</v>
      </c>
      <c r="B48" s="15" t="s">
        <v>384</v>
      </c>
      <c r="C48" s="14" t="s">
        <v>339</v>
      </c>
      <c r="D48" s="14">
        <v>2</v>
      </c>
      <c r="E48" s="16">
        <v>16.66</v>
      </c>
      <c r="F48" s="17">
        <f t="shared" si="0"/>
        <v>33.32</v>
      </c>
    </row>
    <row r="49" ht="43.2" spans="1:6">
      <c r="A49" s="14">
        <v>47</v>
      </c>
      <c r="B49" s="15" t="s">
        <v>385</v>
      </c>
      <c r="C49" s="14" t="s">
        <v>339</v>
      </c>
      <c r="D49" s="14">
        <v>2</v>
      </c>
      <c r="E49" s="16">
        <v>40.85</v>
      </c>
      <c r="F49" s="17">
        <f t="shared" si="0"/>
        <v>81.7</v>
      </c>
    </row>
    <row r="50" ht="43.2" spans="1:6">
      <c r="A50" s="14">
        <v>48</v>
      </c>
      <c r="B50" s="15" t="s">
        <v>386</v>
      </c>
      <c r="C50" s="14" t="s">
        <v>339</v>
      </c>
      <c r="D50" s="14">
        <v>2</v>
      </c>
      <c r="E50" s="16">
        <v>27.33</v>
      </c>
      <c r="F50" s="17">
        <f t="shared" si="0"/>
        <v>54.66</v>
      </c>
    </row>
    <row r="51" ht="28.8" spans="1:6">
      <c r="A51" s="14">
        <v>49</v>
      </c>
      <c r="B51" s="15" t="s">
        <v>387</v>
      </c>
      <c r="C51" s="14" t="s">
        <v>339</v>
      </c>
      <c r="D51" s="14">
        <v>1</v>
      </c>
      <c r="E51" s="16">
        <v>23.44</v>
      </c>
      <c r="F51" s="17">
        <f t="shared" si="0"/>
        <v>23.44</v>
      </c>
    </row>
    <row r="52" ht="43.2" spans="1:6">
      <c r="A52" s="14">
        <v>50</v>
      </c>
      <c r="B52" s="15" t="s">
        <v>388</v>
      </c>
      <c r="C52" s="14" t="s">
        <v>339</v>
      </c>
      <c r="D52" s="14">
        <v>4</v>
      </c>
      <c r="E52" s="16">
        <v>20.4</v>
      </c>
      <c r="F52" s="17">
        <f t="shared" si="0"/>
        <v>81.6</v>
      </c>
    </row>
    <row r="53" ht="43.2" spans="1:6">
      <c r="A53" s="14">
        <v>51</v>
      </c>
      <c r="B53" s="15" t="s">
        <v>389</v>
      </c>
      <c r="C53" s="14" t="s">
        <v>339</v>
      </c>
      <c r="D53" s="14">
        <v>2</v>
      </c>
      <c r="E53" s="16">
        <v>33.95</v>
      </c>
      <c r="F53" s="17">
        <f t="shared" si="0"/>
        <v>67.9</v>
      </c>
    </row>
    <row r="54" ht="43.2" spans="1:6">
      <c r="A54" s="14">
        <v>52</v>
      </c>
      <c r="B54" s="15" t="s">
        <v>390</v>
      </c>
      <c r="C54" s="14" t="s">
        <v>339</v>
      </c>
      <c r="D54" s="14">
        <v>2</v>
      </c>
      <c r="E54" s="16">
        <v>19.61</v>
      </c>
      <c r="F54" s="17">
        <f t="shared" si="0"/>
        <v>39.22</v>
      </c>
    </row>
    <row r="55" ht="43.2" spans="1:6">
      <c r="A55" s="14">
        <v>53</v>
      </c>
      <c r="B55" s="15" t="s">
        <v>391</v>
      </c>
      <c r="C55" s="14" t="s">
        <v>339</v>
      </c>
      <c r="D55" s="14">
        <v>1</v>
      </c>
      <c r="E55" s="16">
        <v>19.79</v>
      </c>
      <c r="F55" s="17">
        <f t="shared" si="0"/>
        <v>19.79</v>
      </c>
    </row>
    <row r="56" ht="43.2" spans="1:6">
      <c r="A56" s="14">
        <v>54</v>
      </c>
      <c r="B56" s="15" t="s">
        <v>392</v>
      </c>
      <c r="C56" s="14" t="s">
        <v>339</v>
      </c>
      <c r="D56" s="14">
        <v>2</v>
      </c>
      <c r="E56" s="16">
        <v>12.14</v>
      </c>
      <c r="F56" s="17">
        <f t="shared" si="0"/>
        <v>24.28</v>
      </c>
    </row>
    <row r="57" ht="43.2" spans="1:6">
      <c r="A57" s="14">
        <v>55</v>
      </c>
      <c r="B57" s="15" t="s">
        <v>393</v>
      </c>
      <c r="C57" s="14" t="s">
        <v>339</v>
      </c>
      <c r="D57" s="14">
        <v>1</v>
      </c>
      <c r="E57" s="16">
        <v>34.22</v>
      </c>
      <c r="F57" s="17">
        <f t="shared" si="0"/>
        <v>34.22</v>
      </c>
    </row>
    <row r="58" ht="28.8" spans="1:6">
      <c r="A58" s="14">
        <v>56</v>
      </c>
      <c r="B58" s="15" t="s">
        <v>394</v>
      </c>
      <c r="C58" s="14" t="s">
        <v>339</v>
      </c>
      <c r="D58" s="14">
        <v>4</v>
      </c>
      <c r="E58" s="16">
        <v>43.15</v>
      </c>
      <c r="F58" s="17">
        <f t="shared" si="0"/>
        <v>172.6</v>
      </c>
    </row>
    <row r="59" ht="28.8" spans="1:6">
      <c r="A59" s="14">
        <v>57</v>
      </c>
      <c r="B59" s="15" t="s">
        <v>395</v>
      </c>
      <c r="C59" s="14" t="s">
        <v>396</v>
      </c>
      <c r="D59" s="14">
        <v>10</v>
      </c>
      <c r="E59" s="16">
        <v>2.62</v>
      </c>
      <c r="F59" s="17">
        <f t="shared" si="0"/>
        <v>26.2</v>
      </c>
    </row>
    <row r="60" ht="43.2" spans="1:6">
      <c r="A60" s="14">
        <v>58</v>
      </c>
      <c r="B60" s="15" t="s">
        <v>397</v>
      </c>
      <c r="C60" s="14" t="s">
        <v>339</v>
      </c>
      <c r="D60" s="14">
        <v>10</v>
      </c>
      <c r="E60" s="16">
        <v>15.99</v>
      </c>
      <c r="F60" s="17">
        <f t="shared" si="0"/>
        <v>159.9</v>
      </c>
    </row>
    <row r="61" ht="28.8" spans="1:6">
      <c r="A61" s="14">
        <v>59</v>
      </c>
      <c r="B61" s="15" t="s">
        <v>398</v>
      </c>
      <c r="C61" s="14" t="s">
        <v>339</v>
      </c>
      <c r="D61" s="14">
        <v>2</v>
      </c>
      <c r="E61" s="16">
        <v>13.3</v>
      </c>
      <c r="F61" s="17">
        <f t="shared" si="0"/>
        <v>26.6</v>
      </c>
    </row>
    <row r="62" ht="43.2" spans="1:6">
      <c r="A62" s="14">
        <v>60</v>
      </c>
      <c r="B62" s="15" t="s">
        <v>399</v>
      </c>
      <c r="C62" s="14" t="s">
        <v>339</v>
      </c>
      <c r="D62" s="14">
        <v>40</v>
      </c>
      <c r="E62" s="16">
        <v>2.86</v>
      </c>
      <c r="F62" s="17">
        <f t="shared" si="0"/>
        <v>114.4</v>
      </c>
    </row>
    <row r="63" ht="43.2" spans="1:6">
      <c r="A63" s="14">
        <v>61</v>
      </c>
      <c r="B63" s="15" t="s">
        <v>400</v>
      </c>
      <c r="C63" s="14" t="s">
        <v>339</v>
      </c>
      <c r="D63" s="14">
        <v>40</v>
      </c>
      <c r="E63" s="16">
        <v>6.79</v>
      </c>
      <c r="F63" s="17">
        <f t="shared" si="0"/>
        <v>271.6</v>
      </c>
    </row>
    <row r="64" ht="43.2" spans="1:6">
      <c r="A64" s="14">
        <v>62</v>
      </c>
      <c r="B64" s="15" t="s">
        <v>401</v>
      </c>
      <c r="C64" s="14" t="s">
        <v>339</v>
      </c>
      <c r="D64" s="14">
        <v>40</v>
      </c>
      <c r="E64" s="16">
        <v>8.5</v>
      </c>
      <c r="F64" s="17">
        <f t="shared" si="0"/>
        <v>340</v>
      </c>
    </row>
    <row r="65" ht="43.2" spans="1:6">
      <c r="A65" s="14">
        <v>63</v>
      </c>
      <c r="B65" s="15" t="s">
        <v>402</v>
      </c>
      <c r="C65" s="14" t="s">
        <v>339</v>
      </c>
      <c r="D65" s="14">
        <v>4</v>
      </c>
      <c r="E65" s="16">
        <v>11.08</v>
      </c>
      <c r="F65" s="17">
        <f t="shared" si="0"/>
        <v>44.32</v>
      </c>
    </row>
    <row r="66" ht="43.2" spans="1:6">
      <c r="A66" s="14">
        <v>64</v>
      </c>
      <c r="B66" s="15" t="s">
        <v>403</v>
      </c>
      <c r="C66" s="14" t="s">
        <v>339</v>
      </c>
      <c r="D66" s="14">
        <v>40</v>
      </c>
      <c r="E66" s="16">
        <v>3.43</v>
      </c>
      <c r="F66" s="17">
        <f t="shared" si="0"/>
        <v>137.2</v>
      </c>
    </row>
    <row r="67" ht="43.2" spans="1:6">
      <c r="A67" s="14">
        <v>65</v>
      </c>
      <c r="B67" s="15" t="s">
        <v>404</v>
      </c>
      <c r="C67" s="14" t="s">
        <v>339</v>
      </c>
      <c r="D67" s="14">
        <v>40</v>
      </c>
      <c r="E67" s="16">
        <v>6.99</v>
      </c>
      <c r="F67" s="17">
        <f t="shared" ref="F67:F98" si="1">TRUNC(E67*D67,2)</f>
        <v>279.6</v>
      </c>
    </row>
    <row r="68" ht="28.8" spans="1:6">
      <c r="A68" s="14">
        <v>66</v>
      </c>
      <c r="B68" s="15" t="s">
        <v>405</v>
      </c>
      <c r="C68" s="14" t="s">
        <v>339</v>
      </c>
      <c r="D68" s="14">
        <v>40</v>
      </c>
      <c r="E68" s="16">
        <v>15</v>
      </c>
      <c r="F68" s="17">
        <f t="shared" si="1"/>
        <v>600</v>
      </c>
    </row>
    <row r="69" ht="28.8" spans="1:6">
      <c r="A69" s="14">
        <v>67</v>
      </c>
      <c r="B69" s="15" t="s">
        <v>406</v>
      </c>
      <c r="C69" s="14" t="s">
        <v>339</v>
      </c>
      <c r="D69" s="14">
        <v>40</v>
      </c>
      <c r="E69" s="16">
        <v>29.57</v>
      </c>
      <c r="F69" s="17">
        <f t="shared" si="1"/>
        <v>1182.8</v>
      </c>
    </row>
    <row r="70" ht="28.8" spans="1:6">
      <c r="A70" s="14">
        <v>68</v>
      </c>
      <c r="B70" s="15" t="s">
        <v>407</v>
      </c>
      <c r="C70" s="14" t="s">
        <v>339</v>
      </c>
      <c r="D70" s="14">
        <v>10</v>
      </c>
      <c r="E70" s="16">
        <v>36.29</v>
      </c>
      <c r="F70" s="17">
        <f t="shared" si="1"/>
        <v>362.9</v>
      </c>
    </row>
    <row r="71" ht="43.2" spans="1:6">
      <c r="A71" s="14">
        <v>69</v>
      </c>
      <c r="B71" s="15" t="s">
        <v>408</v>
      </c>
      <c r="C71" s="14" t="s">
        <v>339</v>
      </c>
      <c r="D71" s="14">
        <v>40</v>
      </c>
      <c r="E71" s="16">
        <v>7.03</v>
      </c>
      <c r="F71" s="17">
        <f t="shared" si="1"/>
        <v>281.2</v>
      </c>
    </row>
    <row r="72" ht="28.8" spans="1:6">
      <c r="A72" s="14">
        <v>70</v>
      </c>
      <c r="B72" s="15" t="s">
        <v>409</v>
      </c>
      <c r="C72" s="14" t="s">
        <v>339</v>
      </c>
      <c r="D72" s="14">
        <v>6</v>
      </c>
      <c r="E72" s="16">
        <v>10</v>
      </c>
      <c r="F72" s="17">
        <f t="shared" si="1"/>
        <v>60</v>
      </c>
    </row>
    <row r="73" ht="28.8" spans="1:6">
      <c r="A73" s="14">
        <v>71</v>
      </c>
      <c r="B73" s="15" t="s">
        <v>410</v>
      </c>
      <c r="C73" s="14" t="s">
        <v>339</v>
      </c>
      <c r="D73" s="14">
        <v>6</v>
      </c>
      <c r="E73" s="16">
        <v>3.77</v>
      </c>
      <c r="F73" s="17">
        <f t="shared" si="1"/>
        <v>22.62</v>
      </c>
    </row>
    <row r="74" ht="57.6" spans="1:6">
      <c r="A74" s="14">
        <v>72</v>
      </c>
      <c r="B74" s="15" t="s">
        <v>411</v>
      </c>
      <c r="C74" s="14" t="s">
        <v>339</v>
      </c>
      <c r="D74" s="14">
        <v>4</v>
      </c>
      <c r="E74" s="16">
        <v>22.72</v>
      </c>
      <c r="F74" s="17">
        <f t="shared" si="1"/>
        <v>90.88</v>
      </c>
    </row>
    <row r="75" ht="43.2" spans="1:6">
      <c r="A75" s="14">
        <v>73</v>
      </c>
      <c r="B75" s="15" t="s">
        <v>412</v>
      </c>
      <c r="C75" s="14" t="s">
        <v>339</v>
      </c>
      <c r="D75" s="14">
        <v>4</v>
      </c>
      <c r="E75" s="16">
        <v>11.71</v>
      </c>
      <c r="F75" s="17">
        <f t="shared" si="1"/>
        <v>46.84</v>
      </c>
    </row>
    <row r="76" ht="43.2" spans="1:6">
      <c r="A76" s="14">
        <v>74</v>
      </c>
      <c r="B76" s="15" t="s">
        <v>413</v>
      </c>
      <c r="C76" s="14" t="s">
        <v>339</v>
      </c>
      <c r="D76" s="14">
        <v>4</v>
      </c>
      <c r="E76" s="16">
        <v>15.65</v>
      </c>
      <c r="F76" s="17">
        <f t="shared" si="1"/>
        <v>62.6</v>
      </c>
    </row>
    <row r="77" ht="43.2" spans="1:6">
      <c r="A77" s="14">
        <v>75</v>
      </c>
      <c r="B77" s="15" t="s">
        <v>414</v>
      </c>
      <c r="C77" s="14" t="s">
        <v>339</v>
      </c>
      <c r="D77" s="14">
        <v>4</v>
      </c>
      <c r="E77" s="16">
        <v>5</v>
      </c>
      <c r="F77" s="17">
        <f t="shared" si="1"/>
        <v>20</v>
      </c>
    </row>
    <row r="78" ht="57.6" spans="1:6">
      <c r="A78" s="14">
        <v>76</v>
      </c>
      <c r="B78" s="15" t="s">
        <v>415</v>
      </c>
      <c r="C78" s="14" t="s">
        <v>339</v>
      </c>
      <c r="D78" s="14">
        <v>3</v>
      </c>
      <c r="E78" s="16">
        <v>39.23</v>
      </c>
      <c r="F78" s="17">
        <f t="shared" si="1"/>
        <v>117.69</v>
      </c>
    </row>
    <row r="79" ht="57.6" spans="1:6">
      <c r="A79" s="14">
        <v>77</v>
      </c>
      <c r="B79" s="15" t="s">
        <v>416</v>
      </c>
      <c r="C79" s="14" t="s">
        <v>339</v>
      </c>
      <c r="D79" s="14">
        <v>3</v>
      </c>
      <c r="E79" s="16">
        <v>25.02</v>
      </c>
      <c r="F79" s="17">
        <f t="shared" si="1"/>
        <v>75.06</v>
      </c>
    </row>
    <row r="80" ht="43.2" spans="1:6">
      <c r="A80" s="14">
        <v>78</v>
      </c>
      <c r="B80" s="15" t="s">
        <v>417</v>
      </c>
      <c r="C80" s="14" t="s">
        <v>339</v>
      </c>
      <c r="D80" s="14">
        <v>3</v>
      </c>
      <c r="E80" s="16">
        <v>37.15</v>
      </c>
      <c r="F80" s="17">
        <f t="shared" si="1"/>
        <v>111.45</v>
      </c>
    </row>
    <row r="81" ht="43.2" spans="1:6">
      <c r="A81" s="14">
        <v>79</v>
      </c>
      <c r="B81" s="15" t="s">
        <v>418</v>
      </c>
      <c r="C81" s="14" t="s">
        <v>339</v>
      </c>
      <c r="D81" s="14">
        <v>2</v>
      </c>
      <c r="E81" s="16">
        <v>80.74</v>
      </c>
      <c r="F81" s="17">
        <f t="shared" si="1"/>
        <v>161.48</v>
      </c>
    </row>
    <row r="82" ht="43.2" spans="1:6">
      <c r="A82" s="14">
        <v>80</v>
      </c>
      <c r="B82" s="15" t="s">
        <v>419</v>
      </c>
      <c r="C82" s="14" t="s">
        <v>339</v>
      </c>
      <c r="D82" s="14">
        <v>6</v>
      </c>
      <c r="E82" s="16">
        <v>35.76</v>
      </c>
      <c r="F82" s="17">
        <f t="shared" si="1"/>
        <v>214.56</v>
      </c>
    </row>
    <row r="83" ht="43.2" spans="1:6">
      <c r="A83" s="14">
        <v>81</v>
      </c>
      <c r="B83" s="15" t="s">
        <v>420</v>
      </c>
      <c r="C83" s="14" t="s">
        <v>339</v>
      </c>
      <c r="D83" s="14">
        <v>3</v>
      </c>
      <c r="E83" s="16">
        <v>64.93</v>
      </c>
      <c r="F83" s="17">
        <f t="shared" si="1"/>
        <v>194.79</v>
      </c>
    </row>
    <row r="84" ht="43.2" spans="1:6">
      <c r="A84" s="14">
        <v>82</v>
      </c>
      <c r="B84" s="15" t="s">
        <v>421</v>
      </c>
      <c r="C84" s="14" t="s">
        <v>339</v>
      </c>
      <c r="D84" s="14">
        <v>4</v>
      </c>
      <c r="E84" s="16">
        <v>18.7</v>
      </c>
      <c r="F84" s="17">
        <f t="shared" si="1"/>
        <v>74.8</v>
      </c>
    </row>
    <row r="85" ht="72" spans="1:6">
      <c r="A85" s="14">
        <v>83</v>
      </c>
      <c r="B85" s="15" t="s">
        <v>422</v>
      </c>
      <c r="C85" s="14" t="s">
        <v>339</v>
      </c>
      <c r="D85" s="14">
        <v>6</v>
      </c>
      <c r="E85" s="16">
        <v>248.38</v>
      </c>
      <c r="F85" s="17">
        <f t="shared" si="1"/>
        <v>1490.28</v>
      </c>
    </row>
    <row r="86" ht="43.2" spans="1:6">
      <c r="A86" s="14">
        <v>84</v>
      </c>
      <c r="B86" s="15" t="s">
        <v>423</v>
      </c>
      <c r="C86" s="14" t="s">
        <v>339</v>
      </c>
      <c r="D86" s="14">
        <v>3</v>
      </c>
      <c r="E86" s="16">
        <v>39.7</v>
      </c>
      <c r="F86" s="17">
        <f t="shared" si="1"/>
        <v>119.1</v>
      </c>
    </row>
    <row r="87" ht="43.2" spans="1:6">
      <c r="A87" s="14">
        <v>85</v>
      </c>
      <c r="B87" s="15" t="s">
        <v>424</v>
      </c>
      <c r="C87" s="14" t="s">
        <v>339</v>
      </c>
      <c r="D87" s="14">
        <v>2</v>
      </c>
      <c r="E87" s="16">
        <v>4.74</v>
      </c>
      <c r="F87" s="17">
        <f t="shared" si="1"/>
        <v>9.48</v>
      </c>
    </row>
    <row r="88" ht="43.2" spans="1:6">
      <c r="A88" s="14">
        <v>86</v>
      </c>
      <c r="B88" s="15" t="s">
        <v>425</v>
      </c>
      <c r="C88" s="14" t="s">
        <v>339</v>
      </c>
      <c r="D88" s="14">
        <v>2</v>
      </c>
      <c r="E88" s="16">
        <v>8.54</v>
      </c>
      <c r="F88" s="17">
        <f t="shared" si="1"/>
        <v>17.08</v>
      </c>
    </row>
    <row r="89" ht="57.6" spans="1:6">
      <c r="A89" s="14">
        <v>87</v>
      </c>
      <c r="B89" s="15" t="s">
        <v>426</v>
      </c>
      <c r="C89" s="14" t="s">
        <v>339</v>
      </c>
      <c r="D89" s="14">
        <v>2</v>
      </c>
      <c r="E89" s="16">
        <v>46.91</v>
      </c>
      <c r="F89" s="17">
        <f t="shared" si="1"/>
        <v>93.82</v>
      </c>
    </row>
    <row r="90" ht="43.2" spans="1:6">
      <c r="A90" s="14">
        <v>88</v>
      </c>
      <c r="B90" s="18" t="s">
        <v>427</v>
      </c>
      <c r="C90" s="14" t="s">
        <v>339</v>
      </c>
      <c r="D90" s="14">
        <v>10</v>
      </c>
      <c r="E90" s="16">
        <v>48.9</v>
      </c>
      <c r="F90" s="17">
        <f t="shared" si="1"/>
        <v>489</v>
      </c>
    </row>
    <row r="91" ht="28.8" spans="1:6">
      <c r="A91" s="14">
        <v>89</v>
      </c>
      <c r="B91" s="18" t="s">
        <v>428</v>
      </c>
      <c r="C91" s="14" t="s">
        <v>339</v>
      </c>
      <c r="D91" s="14">
        <v>4</v>
      </c>
      <c r="E91" s="16">
        <v>36.28</v>
      </c>
      <c r="F91" s="17">
        <f t="shared" si="1"/>
        <v>145.12</v>
      </c>
    </row>
    <row r="92" ht="72" spans="1:6">
      <c r="A92" s="14">
        <v>90</v>
      </c>
      <c r="B92" s="18" t="s">
        <v>429</v>
      </c>
      <c r="C92" s="14" t="s">
        <v>339</v>
      </c>
      <c r="D92" s="14">
        <v>3</v>
      </c>
      <c r="E92" s="16">
        <v>121.31</v>
      </c>
      <c r="F92" s="17">
        <f t="shared" si="1"/>
        <v>363.93</v>
      </c>
    </row>
    <row r="93" ht="129.6" spans="1:6">
      <c r="A93" s="14">
        <v>91</v>
      </c>
      <c r="B93" s="18" t="s">
        <v>430</v>
      </c>
      <c r="C93" s="14" t="s">
        <v>339</v>
      </c>
      <c r="D93" s="14">
        <v>4</v>
      </c>
      <c r="E93" s="16">
        <v>36.67</v>
      </c>
      <c r="F93" s="17">
        <f t="shared" si="1"/>
        <v>146.68</v>
      </c>
    </row>
    <row r="94" ht="57.6" spans="1:6">
      <c r="A94" s="14">
        <v>92</v>
      </c>
      <c r="B94" s="18" t="s">
        <v>431</v>
      </c>
      <c r="C94" s="14" t="s">
        <v>339</v>
      </c>
      <c r="D94" s="14">
        <v>2</v>
      </c>
      <c r="E94" s="16">
        <v>21.99</v>
      </c>
      <c r="F94" s="17">
        <f t="shared" si="1"/>
        <v>43.98</v>
      </c>
    </row>
    <row r="95" ht="57.6" spans="1:6">
      <c r="A95" s="14">
        <v>93</v>
      </c>
      <c r="B95" s="18" t="s">
        <v>432</v>
      </c>
      <c r="C95" s="14" t="s">
        <v>339</v>
      </c>
      <c r="D95" s="14">
        <v>2</v>
      </c>
      <c r="E95" s="16">
        <v>180.57</v>
      </c>
      <c r="F95" s="17">
        <f t="shared" si="1"/>
        <v>361.14</v>
      </c>
    </row>
    <row r="96" ht="100.8" spans="1:6">
      <c r="A96" s="14">
        <v>94</v>
      </c>
      <c r="B96" s="18" t="s">
        <v>433</v>
      </c>
      <c r="C96" s="14" t="s">
        <v>339</v>
      </c>
      <c r="D96" s="14">
        <v>2</v>
      </c>
      <c r="E96" s="16">
        <v>82</v>
      </c>
      <c r="F96" s="17">
        <f t="shared" si="1"/>
        <v>164</v>
      </c>
    </row>
    <row r="97" ht="57.6" spans="1:6">
      <c r="A97" s="14">
        <v>95</v>
      </c>
      <c r="B97" s="18" t="s">
        <v>434</v>
      </c>
      <c r="C97" s="14" t="s">
        <v>339</v>
      </c>
      <c r="D97" s="14">
        <v>1</v>
      </c>
      <c r="E97" s="16">
        <v>154.45</v>
      </c>
      <c r="F97" s="17">
        <f t="shared" si="1"/>
        <v>154.45</v>
      </c>
    </row>
    <row r="98" ht="43.2" spans="1:6">
      <c r="A98" s="14">
        <v>96</v>
      </c>
      <c r="B98" s="18" t="s">
        <v>435</v>
      </c>
      <c r="C98" s="14" t="s">
        <v>339</v>
      </c>
      <c r="D98" s="14">
        <v>20</v>
      </c>
      <c r="E98" s="16">
        <v>196.9</v>
      </c>
      <c r="F98" s="17">
        <f t="shared" si="1"/>
        <v>3938</v>
      </c>
    </row>
    <row r="99" spans="1:6">
      <c r="A99" s="19" t="s">
        <v>224</v>
      </c>
      <c r="B99" s="20"/>
      <c r="C99" s="19"/>
      <c r="D99" s="19"/>
      <c r="E99" s="21">
        <f>TRUNC(SUM(F3:F98),2)</f>
        <v>18070.69</v>
      </c>
      <c r="F99" s="21"/>
    </row>
    <row r="100" spans="1:6">
      <c r="A100" s="19" t="s">
        <v>436</v>
      </c>
      <c r="B100" s="20"/>
      <c r="C100" s="19"/>
      <c r="D100" s="19"/>
      <c r="E100" s="19">
        <v>7</v>
      </c>
      <c r="F100" s="19"/>
    </row>
    <row r="101" spans="1:6">
      <c r="A101" s="19" t="s">
        <v>333</v>
      </c>
      <c r="B101" s="20"/>
      <c r="C101" s="19"/>
      <c r="D101" s="19"/>
      <c r="E101" s="21">
        <f>TRUNC((E99/E100)/12,2)</f>
        <v>215.12</v>
      </c>
      <c r="F101" s="21"/>
    </row>
    <row r="102" spans="2:2">
      <c r="B102" s="22"/>
    </row>
    <row r="103" spans="2:2">
      <c r="B103" s="22"/>
    </row>
    <row r="104" spans="2:2">
      <c r="B104" s="22"/>
    </row>
    <row r="105" spans="1:6">
      <c r="A105" s="23" t="s">
        <v>437</v>
      </c>
      <c r="B105" s="24"/>
      <c r="C105" s="23"/>
      <c r="D105" s="23"/>
      <c r="E105" s="23"/>
      <c r="F105" s="23"/>
    </row>
    <row r="106" ht="43.2" spans="1:6">
      <c r="A106" s="25" t="s">
        <v>260</v>
      </c>
      <c r="B106" s="26" t="s">
        <v>262</v>
      </c>
      <c r="C106" s="25" t="s">
        <v>263</v>
      </c>
      <c r="D106" s="27" t="s">
        <v>335</v>
      </c>
      <c r="E106" s="28" t="s">
        <v>336</v>
      </c>
      <c r="F106" s="28" t="s">
        <v>337</v>
      </c>
    </row>
    <row r="107" ht="100.8" spans="1:6">
      <c r="A107" s="14">
        <v>1</v>
      </c>
      <c r="B107" s="18" t="s">
        <v>438</v>
      </c>
      <c r="C107" s="14" t="s">
        <v>339</v>
      </c>
      <c r="D107" s="14">
        <v>1</v>
      </c>
      <c r="E107" s="16">
        <v>347.74</v>
      </c>
      <c r="F107" s="17">
        <f t="shared" ref="F107:F126" si="2">TRUNC(E107*D107,2)</f>
        <v>347.74</v>
      </c>
    </row>
    <row r="108" ht="115.2" spans="1:6">
      <c r="A108" s="14">
        <v>2</v>
      </c>
      <c r="B108" s="18" t="s">
        <v>439</v>
      </c>
      <c r="C108" s="14" t="s">
        <v>339</v>
      </c>
      <c r="D108" s="14">
        <v>1</v>
      </c>
      <c r="E108" s="16">
        <v>200.97</v>
      </c>
      <c r="F108" s="17">
        <f t="shared" si="2"/>
        <v>200.97</v>
      </c>
    </row>
    <row r="109" ht="86.4" spans="1:6">
      <c r="A109" s="14">
        <v>3</v>
      </c>
      <c r="B109" s="18" t="s">
        <v>440</v>
      </c>
      <c r="C109" s="14" t="s">
        <v>339</v>
      </c>
      <c r="D109" s="14">
        <v>1</v>
      </c>
      <c r="E109" s="16">
        <v>534.19</v>
      </c>
      <c r="F109" s="17">
        <f t="shared" si="2"/>
        <v>534.19</v>
      </c>
    </row>
    <row r="110" ht="72" spans="1:6">
      <c r="A110" s="14">
        <v>4</v>
      </c>
      <c r="B110" s="18" t="s">
        <v>441</v>
      </c>
      <c r="C110" s="14" t="s">
        <v>339</v>
      </c>
      <c r="D110" s="14">
        <v>1</v>
      </c>
      <c r="E110" s="16">
        <v>932.74</v>
      </c>
      <c r="F110" s="17">
        <f t="shared" si="2"/>
        <v>932.74</v>
      </c>
    </row>
    <row r="111" ht="57.6" spans="1:6">
      <c r="A111" s="14">
        <v>5</v>
      </c>
      <c r="B111" s="18" t="s">
        <v>442</v>
      </c>
      <c r="C111" s="14" t="s">
        <v>339</v>
      </c>
      <c r="D111" s="14">
        <v>1</v>
      </c>
      <c r="E111" s="16">
        <v>122.59</v>
      </c>
      <c r="F111" s="17">
        <f t="shared" si="2"/>
        <v>122.59</v>
      </c>
    </row>
    <row r="112" ht="43.2" spans="1:6">
      <c r="A112" s="14">
        <v>6</v>
      </c>
      <c r="B112" s="18" t="s">
        <v>443</v>
      </c>
      <c r="C112" s="14" t="s">
        <v>339</v>
      </c>
      <c r="D112" s="14">
        <v>1</v>
      </c>
      <c r="E112" s="16">
        <v>309.4</v>
      </c>
      <c r="F112" s="17">
        <f t="shared" si="2"/>
        <v>309.4</v>
      </c>
    </row>
    <row r="113" ht="144" spans="1:6">
      <c r="A113" s="14">
        <v>7</v>
      </c>
      <c r="B113" s="18" t="s">
        <v>444</v>
      </c>
      <c r="C113" s="14" t="s">
        <v>339</v>
      </c>
      <c r="D113" s="14">
        <v>1</v>
      </c>
      <c r="E113" s="16">
        <v>700.03</v>
      </c>
      <c r="F113" s="17">
        <f t="shared" si="2"/>
        <v>700.03</v>
      </c>
    </row>
    <row r="114" ht="144" spans="1:6">
      <c r="A114" s="14">
        <v>8</v>
      </c>
      <c r="B114" s="18" t="s">
        <v>445</v>
      </c>
      <c r="C114" s="14" t="s">
        <v>339</v>
      </c>
      <c r="D114" s="14">
        <v>1</v>
      </c>
      <c r="E114" s="16">
        <v>458.28</v>
      </c>
      <c r="F114" s="17">
        <f t="shared" si="2"/>
        <v>458.28</v>
      </c>
    </row>
    <row r="115" ht="28.8" spans="1:6">
      <c r="A115" s="14">
        <v>9</v>
      </c>
      <c r="B115" s="18" t="s">
        <v>446</v>
      </c>
      <c r="C115" s="14" t="s">
        <v>339</v>
      </c>
      <c r="D115" s="14">
        <v>1</v>
      </c>
      <c r="E115" s="16">
        <v>264.18</v>
      </c>
      <c r="F115" s="17">
        <f t="shared" si="2"/>
        <v>264.18</v>
      </c>
    </row>
    <row r="116" ht="72" spans="1:6">
      <c r="A116" s="14">
        <v>10</v>
      </c>
      <c r="B116" s="18" t="s">
        <v>447</v>
      </c>
      <c r="C116" s="14" t="s">
        <v>339</v>
      </c>
      <c r="D116" s="14">
        <v>1</v>
      </c>
      <c r="E116" s="16">
        <v>275.54</v>
      </c>
      <c r="F116" s="17">
        <f t="shared" si="2"/>
        <v>275.54</v>
      </c>
    </row>
    <row r="117" ht="57.6" spans="1:6">
      <c r="A117" s="14">
        <v>11</v>
      </c>
      <c r="B117" s="18" t="s">
        <v>448</v>
      </c>
      <c r="C117" s="14" t="s">
        <v>339</v>
      </c>
      <c r="D117" s="14">
        <v>1</v>
      </c>
      <c r="E117" s="16">
        <v>376.5</v>
      </c>
      <c r="F117" s="17">
        <f t="shared" si="2"/>
        <v>376.5</v>
      </c>
    </row>
    <row r="118" ht="57.6" spans="1:6">
      <c r="A118" s="14">
        <v>12</v>
      </c>
      <c r="B118" s="18" t="s">
        <v>449</v>
      </c>
      <c r="C118" s="14" t="s">
        <v>339</v>
      </c>
      <c r="D118" s="14">
        <v>1</v>
      </c>
      <c r="E118" s="16">
        <v>317.09</v>
      </c>
      <c r="F118" s="17">
        <f t="shared" si="2"/>
        <v>317.09</v>
      </c>
    </row>
    <row r="119" ht="57.6" spans="1:6">
      <c r="A119" s="14">
        <v>13</v>
      </c>
      <c r="B119" s="18" t="s">
        <v>450</v>
      </c>
      <c r="C119" s="14" t="s">
        <v>339</v>
      </c>
      <c r="D119" s="14">
        <v>1</v>
      </c>
      <c r="E119" s="16">
        <v>336.28</v>
      </c>
      <c r="F119" s="17">
        <f t="shared" si="2"/>
        <v>336.28</v>
      </c>
    </row>
    <row r="120" ht="57.6" spans="1:6">
      <c r="A120" s="14">
        <v>14</v>
      </c>
      <c r="B120" s="18" t="s">
        <v>451</v>
      </c>
      <c r="C120" s="14" t="s">
        <v>339</v>
      </c>
      <c r="D120" s="14">
        <v>1</v>
      </c>
      <c r="E120" s="16">
        <v>603.22</v>
      </c>
      <c r="F120" s="17">
        <f t="shared" si="2"/>
        <v>603.22</v>
      </c>
    </row>
    <row r="121" ht="86.4" spans="1:6">
      <c r="A121" s="14">
        <v>15</v>
      </c>
      <c r="B121" s="18" t="s">
        <v>452</v>
      </c>
      <c r="C121" s="14" t="s">
        <v>339</v>
      </c>
      <c r="D121" s="14">
        <v>1</v>
      </c>
      <c r="E121" s="16">
        <v>386.89</v>
      </c>
      <c r="F121" s="17">
        <f t="shared" si="2"/>
        <v>386.89</v>
      </c>
    </row>
    <row r="122" ht="158.4" spans="1:6">
      <c r="A122" s="14">
        <v>16</v>
      </c>
      <c r="B122" s="18" t="s">
        <v>453</v>
      </c>
      <c r="C122" s="14" t="s">
        <v>339</v>
      </c>
      <c r="D122" s="14">
        <v>1</v>
      </c>
      <c r="E122" s="16">
        <v>981.6</v>
      </c>
      <c r="F122" s="17">
        <f t="shared" si="2"/>
        <v>981.6</v>
      </c>
    </row>
    <row r="123" ht="57.6" spans="1:6">
      <c r="A123" s="14">
        <v>17</v>
      </c>
      <c r="B123" s="18" t="s">
        <v>454</v>
      </c>
      <c r="C123" s="14" t="s">
        <v>339</v>
      </c>
      <c r="D123" s="14">
        <v>1</v>
      </c>
      <c r="E123" s="16">
        <v>266.33</v>
      </c>
      <c r="F123" s="17">
        <f t="shared" si="2"/>
        <v>266.33</v>
      </c>
    </row>
    <row r="124" ht="43.2" spans="1:6">
      <c r="A124" s="14">
        <v>18</v>
      </c>
      <c r="B124" s="18" t="s">
        <v>455</v>
      </c>
      <c r="C124" s="14" t="s">
        <v>339</v>
      </c>
      <c r="D124" s="14">
        <v>1</v>
      </c>
      <c r="E124" s="16">
        <v>117</v>
      </c>
      <c r="F124" s="17">
        <f t="shared" si="2"/>
        <v>117</v>
      </c>
    </row>
    <row r="125" ht="129.6" spans="1:6">
      <c r="A125" s="14">
        <v>19</v>
      </c>
      <c r="B125" s="18" t="s">
        <v>456</v>
      </c>
      <c r="C125" s="14" t="s">
        <v>339</v>
      </c>
      <c r="D125" s="14">
        <v>1</v>
      </c>
      <c r="E125" s="16">
        <v>343.17</v>
      </c>
      <c r="F125" s="17">
        <f t="shared" si="2"/>
        <v>343.17</v>
      </c>
    </row>
    <row r="126" ht="57.6" spans="1:6">
      <c r="A126" s="14">
        <v>20</v>
      </c>
      <c r="B126" s="18" t="s">
        <v>457</v>
      </c>
      <c r="C126" s="14" t="s">
        <v>339</v>
      </c>
      <c r="D126" s="14">
        <v>1</v>
      </c>
      <c r="E126" s="16">
        <v>200.56</v>
      </c>
      <c r="F126" s="17">
        <f t="shared" si="2"/>
        <v>200.56</v>
      </c>
    </row>
    <row r="127" spans="1:6">
      <c r="A127" s="29" t="s">
        <v>58</v>
      </c>
      <c r="B127" s="30"/>
      <c r="C127" s="5"/>
      <c r="E127" s="5"/>
      <c r="F127" s="31">
        <f>SUBTOTAL(109,Table44[VALOR TOTAL ESTIMADO])</f>
        <v>8074.3</v>
      </c>
    </row>
    <row r="128" spans="1:6">
      <c r="A128" s="32" t="s">
        <v>458</v>
      </c>
      <c r="B128" s="33"/>
      <c r="C128" s="33"/>
      <c r="D128" s="33"/>
      <c r="E128" s="34"/>
      <c r="F128" s="35">
        <f>Table44[[#Totals],[VALOR TOTAL ESTIMADO]]*0.5%</f>
        <v>40.3715</v>
      </c>
    </row>
    <row r="129" spans="1:6">
      <c r="A129" s="36" t="s">
        <v>459</v>
      </c>
      <c r="B129" s="36"/>
      <c r="C129" s="36"/>
      <c r="D129" s="36"/>
      <c r="E129" s="36"/>
      <c r="F129" s="37">
        <f>Table44[[#Totals],[VALOR TOTAL ESTIMADO]]*(1-0.2)/(12*8)</f>
        <v>67.2858333333333</v>
      </c>
    </row>
    <row r="130" spans="1:6">
      <c r="A130" s="36" t="s">
        <v>460</v>
      </c>
      <c r="B130" s="36"/>
      <c r="C130" s="36"/>
      <c r="D130" s="36"/>
      <c r="E130" s="36"/>
      <c r="F130" s="37">
        <f>F128+F129</f>
        <v>107.657333333333</v>
      </c>
    </row>
    <row r="131" spans="1:6">
      <c r="A131" s="36" t="s">
        <v>436</v>
      </c>
      <c r="B131" s="36"/>
      <c r="C131" s="36"/>
      <c r="D131" s="36"/>
      <c r="E131" s="36"/>
      <c r="F131" s="38">
        <v>7</v>
      </c>
    </row>
    <row r="132" spans="1:6">
      <c r="A132" s="36" t="s">
        <v>333</v>
      </c>
      <c r="B132" s="36"/>
      <c r="C132" s="36"/>
      <c r="D132" s="36"/>
      <c r="E132" s="36"/>
      <c r="F132" s="37">
        <f>TRUNC(F130/F131,2)</f>
        <v>15.37</v>
      </c>
    </row>
    <row r="133" spans="1:6">
      <c r="A133" s="39"/>
      <c r="B133" s="39"/>
      <c r="C133" s="39"/>
      <c r="D133" s="39"/>
      <c r="E133" s="39"/>
      <c r="F133" s="39"/>
    </row>
    <row r="134" spans="1:6">
      <c r="A134" s="40" t="s">
        <v>461</v>
      </c>
      <c r="B134" s="41"/>
      <c r="C134" s="41"/>
      <c r="D134" s="41"/>
      <c r="E134" s="41"/>
      <c r="F134" s="41"/>
    </row>
    <row r="135" spans="1:6">
      <c r="A135" s="41"/>
      <c r="B135" s="41"/>
      <c r="C135" s="41"/>
      <c r="D135" s="41"/>
      <c r="E135" s="41"/>
      <c r="F135" s="41"/>
    </row>
    <row r="136" spans="1:6">
      <c r="A136" s="41"/>
      <c r="B136" s="41"/>
      <c r="C136" s="41"/>
      <c r="D136" s="41"/>
      <c r="E136" s="41"/>
      <c r="F136" s="41"/>
    </row>
    <row r="137" spans="1:6">
      <c r="A137" s="41"/>
      <c r="B137" s="41"/>
      <c r="C137" s="41"/>
      <c r="D137" s="41"/>
      <c r="E137" s="41"/>
      <c r="F137" s="41"/>
    </row>
    <row r="138" spans="1:6">
      <c r="A138" s="41"/>
      <c r="B138" s="41"/>
      <c r="C138" s="41"/>
      <c r="D138" s="41"/>
      <c r="E138" s="41"/>
      <c r="F138" s="41"/>
    </row>
    <row r="139" spans="1:6">
      <c r="A139" s="41"/>
      <c r="B139" s="41"/>
      <c r="C139" s="41"/>
      <c r="D139" s="41"/>
      <c r="E139" s="41"/>
      <c r="F139" s="41"/>
    </row>
    <row r="140" spans="1:6">
      <c r="A140" s="41"/>
      <c r="B140" s="41"/>
      <c r="C140" s="41"/>
      <c r="D140" s="41"/>
      <c r="E140" s="41"/>
      <c r="F140" s="41"/>
    </row>
    <row r="141" spans="1:6">
      <c r="A141" s="41"/>
      <c r="B141" s="41"/>
      <c r="C141" s="41"/>
      <c r="D141" s="41"/>
      <c r="E141" s="41"/>
      <c r="F141" s="41"/>
    </row>
    <row r="142" spans="1:6">
      <c r="A142" s="41"/>
      <c r="B142" s="41"/>
      <c r="C142" s="41"/>
      <c r="D142" s="41"/>
      <c r="E142" s="41"/>
      <c r="F142" s="41"/>
    </row>
    <row r="143" spans="1:6">
      <c r="A143" s="41"/>
      <c r="B143" s="41"/>
      <c r="C143" s="41"/>
      <c r="D143" s="41"/>
      <c r="E143" s="41"/>
      <c r="F143" s="41"/>
    </row>
  </sheetData>
  <mergeCells count="14">
    <mergeCell ref="A1:F1"/>
    <mergeCell ref="A99:D99"/>
    <mergeCell ref="E99:F99"/>
    <mergeCell ref="A100:D100"/>
    <mergeCell ref="E100:F100"/>
    <mergeCell ref="A101:D101"/>
    <mergeCell ref="E101:F101"/>
    <mergeCell ref="A105:F105"/>
    <mergeCell ref="A128:E128"/>
    <mergeCell ref="A129:E129"/>
    <mergeCell ref="A130:E130"/>
    <mergeCell ref="A131:E131"/>
    <mergeCell ref="A132:E132"/>
    <mergeCell ref="A134:F143"/>
  </mergeCells>
  <pageMargins left="0.75" right="0.75" top="1" bottom="1" header="0.5" footer="0.5"/>
  <pageSetup paperSize="9" orientation="landscape"/>
  <headerFooter/>
  <tableParts count="1">
    <tablePart r:id="rId1"/>
  </tablePar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
  <sheetViews>
    <sheetView workbookViewId="0">
      <selection activeCell="L4" sqref="L4"/>
    </sheetView>
  </sheetViews>
  <sheetFormatPr defaultColWidth="9.13888888888889" defaultRowHeight="14.4"/>
  <cols>
    <col min="1" max="1" width="7.13888888888889" customWidth="1"/>
    <col min="2" max="2" width="36.4259259259259" customWidth="1"/>
    <col min="3" max="3" width="11.5740740740741" customWidth="1"/>
    <col min="4" max="4" width="12.5740740740741" customWidth="1"/>
    <col min="5" max="5" width="13.287037037037" customWidth="1"/>
    <col min="6" max="6" width="14.8611111111111" customWidth="1"/>
    <col min="7" max="7" width="14.5740740740741" customWidth="1"/>
  </cols>
  <sheetData>
    <row r="1" ht="15.15" spans="1:7">
      <c r="A1" s="1" t="s">
        <v>462</v>
      </c>
      <c r="B1" s="2"/>
      <c r="C1" s="2"/>
      <c r="D1" s="2"/>
      <c r="E1" s="2"/>
      <c r="F1" s="2"/>
      <c r="G1" s="3"/>
    </row>
    <row r="2" ht="58.35" spans="1:7">
      <c r="A2" s="4" t="s">
        <v>16</v>
      </c>
      <c r="B2" s="4" t="s">
        <v>17</v>
      </c>
      <c r="C2" s="4" t="s">
        <v>270</v>
      </c>
      <c r="D2" s="4" t="s">
        <v>463</v>
      </c>
      <c r="E2" s="4" t="s">
        <v>464</v>
      </c>
      <c r="F2" s="4" t="s">
        <v>465</v>
      </c>
      <c r="G2" s="4" t="s">
        <v>466</v>
      </c>
    </row>
    <row r="3" ht="57.6" spans="1:11">
      <c r="A3" s="5">
        <v>21</v>
      </c>
      <c r="B3" s="6" t="s">
        <v>467</v>
      </c>
      <c r="C3" s="4" t="s">
        <v>468</v>
      </c>
      <c r="D3" s="5">
        <v>1</v>
      </c>
      <c r="E3" s="5">
        <v>12</v>
      </c>
      <c r="F3" s="7">
        <f>Pedreiro!D148</f>
        <v>4425.14</v>
      </c>
      <c r="G3" s="7">
        <f t="shared" ref="G3:G8" si="0">((F3*D3)*(E3))</f>
        <v>53101.68</v>
      </c>
      <c r="K3" s="9"/>
    </row>
    <row r="4" ht="57.6" spans="1:7">
      <c r="A4" s="5">
        <v>22</v>
      </c>
      <c r="B4" s="6" t="s">
        <v>469</v>
      </c>
      <c r="C4" s="4" t="s">
        <v>468</v>
      </c>
      <c r="D4" s="5">
        <v>1</v>
      </c>
      <c r="E4" s="5">
        <v>12</v>
      </c>
      <c r="F4" s="7">
        <f>Eletricista!D148</f>
        <v>5593.07</v>
      </c>
      <c r="G4" s="7">
        <f t="shared" si="0"/>
        <v>67116.84</v>
      </c>
    </row>
    <row r="5" ht="57.6" spans="1:7">
      <c r="A5" s="5">
        <v>23</v>
      </c>
      <c r="B5" s="6" t="s">
        <v>470</v>
      </c>
      <c r="C5" s="4" t="s">
        <v>468</v>
      </c>
      <c r="D5" s="5">
        <v>1</v>
      </c>
      <c r="E5" s="5">
        <v>12</v>
      </c>
      <c r="F5" s="7">
        <f>Pintor!D148</f>
        <v>4418.06</v>
      </c>
      <c r="G5" s="7">
        <f t="shared" si="0"/>
        <v>53016.72</v>
      </c>
    </row>
    <row r="6" ht="72" spans="1:7">
      <c r="A6" s="5">
        <v>24</v>
      </c>
      <c r="B6" s="6" t="s">
        <v>471</v>
      </c>
      <c r="C6" s="4" t="s">
        <v>468</v>
      </c>
      <c r="D6" s="5">
        <v>1</v>
      </c>
      <c r="E6" s="5">
        <v>12</v>
      </c>
      <c r="F6" s="7">
        <f>'Tecnico Refrigeração'!D148</f>
        <v>5464.04</v>
      </c>
      <c r="G6" s="7">
        <f t="shared" si="0"/>
        <v>65568.48</v>
      </c>
    </row>
    <row r="7" ht="72" spans="1:7">
      <c r="A7" s="5">
        <v>25</v>
      </c>
      <c r="B7" s="6" t="s">
        <v>472</v>
      </c>
      <c r="C7" s="4" t="s">
        <v>468</v>
      </c>
      <c r="D7" s="5">
        <v>1</v>
      </c>
      <c r="E7" s="5">
        <v>12</v>
      </c>
      <c r="F7" s="7">
        <f>'Auxiliar Manutenção'!D148</f>
        <v>4425.14</v>
      </c>
      <c r="G7" s="7">
        <f t="shared" si="0"/>
        <v>53101.68</v>
      </c>
    </row>
    <row r="8" ht="57.6" spans="1:7">
      <c r="A8" s="5">
        <v>26</v>
      </c>
      <c r="B8" s="6" t="s">
        <v>473</v>
      </c>
      <c r="C8" s="4" t="s">
        <v>468</v>
      </c>
      <c r="D8" s="5">
        <v>2</v>
      </c>
      <c r="E8" s="5">
        <v>12</v>
      </c>
      <c r="F8" s="7">
        <f>Jardineiro!D148</f>
        <v>3572.32</v>
      </c>
      <c r="G8" s="7">
        <f t="shared" si="0"/>
        <v>85735.68</v>
      </c>
    </row>
    <row r="9" spans="1:7">
      <c r="A9" s="8" t="s">
        <v>207</v>
      </c>
      <c r="B9" s="8"/>
      <c r="C9" s="8"/>
      <c r="D9" s="8"/>
      <c r="E9" s="8"/>
      <c r="F9" s="8"/>
      <c r="G9" s="7">
        <f>SUM(G3:G8)</f>
        <v>377641.08</v>
      </c>
    </row>
  </sheetData>
  <mergeCells count="1">
    <mergeCell ref="A1:G1"/>
  </mergeCells>
  <pageMargins left="0.75" right="0.75" top="1" bottom="1" header="0.5" footer="0.5"/>
  <pageSetup paperSize="9" scale="85" orientation="landscape"/>
  <headerFooter/>
  <tableParts count="1">
    <tablePart r:id="rId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148"/>
  <sheetViews>
    <sheetView showGridLines="0" zoomScale="85" zoomScaleNormal="85" workbookViewId="0">
      <selection activeCell="A1" sqref="A1:D1"/>
    </sheetView>
  </sheetViews>
  <sheetFormatPr defaultColWidth="9" defaultRowHeight="14.4"/>
  <cols>
    <col min="1" max="1" width="12.4166666666667" customWidth="1"/>
    <col min="2" max="2" width="76.4074074074074" customWidth="1"/>
    <col min="3" max="3" width="28.4166666666667" customWidth="1"/>
    <col min="4" max="4" width="27.4166666666667" customWidth="1"/>
    <col min="5" max="5" width="9" customWidth="1"/>
    <col min="6" max="6" width="32.712962962963" customWidth="1"/>
    <col min="7" max="7" width="13.0185185185185" customWidth="1"/>
    <col min="8" max="1025" width="9" customWidth="1"/>
  </cols>
  <sheetData>
    <row r="1" spans="1:21">
      <c r="A1" s="184" t="s">
        <v>14</v>
      </c>
      <c r="B1" s="184"/>
      <c r="C1" s="184"/>
      <c r="D1" s="184"/>
      <c r="F1" s="97" t="s">
        <v>15</v>
      </c>
      <c r="G1" s="97"/>
      <c r="H1" s="111"/>
      <c r="I1" s="111"/>
      <c r="J1" s="111"/>
      <c r="K1" s="111"/>
      <c r="L1" s="111"/>
      <c r="M1" s="111"/>
      <c r="N1" s="111"/>
      <c r="O1" s="111"/>
      <c r="P1" s="111"/>
      <c r="Q1" s="111"/>
      <c r="R1" s="111"/>
      <c r="S1" s="111"/>
      <c r="T1" s="111"/>
      <c r="U1" s="111"/>
    </row>
    <row r="2" spans="1:21">
      <c r="A2" s="99" t="s">
        <v>16</v>
      </c>
      <c r="B2" t="s">
        <v>17</v>
      </c>
      <c r="C2" s="99" t="s">
        <v>18</v>
      </c>
      <c r="D2" s="99" t="s">
        <v>19</v>
      </c>
      <c r="F2" s="22" t="s">
        <v>17</v>
      </c>
      <c r="G2" s="22" t="s">
        <v>19</v>
      </c>
      <c r="H2" s="111"/>
      <c r="I2" s="111"/>
      <c r="J2" s="111"/>
      <c r="K2" s="111"/>
      <c r="L2" s="111"/>
      <c r="M2" s="111"/>
      <c r="N2" s="111"/>
      <c r="O2" s="111"/>
      <c r="P2" s="111"/>
      <c r="Q2" s="111"/>
      <c r="R2" s="111"/>
      <c r="S2" s="111"/>
      <c r="T2" s="111"/>
      <c r="U2" s="111"/>
    </row>
    <row r="3" spans="1:21">
      <c r="A3" s="99">
        <v>1</v>
      </c>
      <c r="B3" t="s">
        <v>20</v>
      </c>
      <c r="C3" s="99"/>
      <c r="D3" s="99" t="s">
        <v>21</v>
      </c>
      <c r="F3" t="s">
        <v>22</v>
      </c>
      <c r="G3" s="185">
        <v>0</v>
      </c>
      <c r="H3" s="111"/>
      <c r="I3" s="111"/>
      <c r="J3" s="111"/>
      <c r="K3" s="111"/>
      <c r="L3" s="111"/>
      <c r="M3" s="111"/>
      <c r="N3" s="111"/>
      <c r="O3" s="111"/>
      <c r="P3" s="111"/>
      <c r="Q3" s="111"/>
      <c r="R3" s="111"/>
      <c r="S3" s="111"/>
      <c r="T3" s="111"/>
      <c r="U3" s="111"/>
    </row>
    <row r="4" spans="1:21">
      <c r="A4" s="99">
        <v>2</v>
      </c>
      <c r="B4" t="s">
        <v>23</v>
      </c>
      <c r="C4" s="99"/>
      <c r="D4" s="99" t="s">
        <v>24</v>
      </c>
      <c r="F4" t="s">
        <v>25</v>
      </c>
      <c r="G4" s="185">
        <v>12</v>
      </c>
      <c r="H4" s="111"/>
      <c r="I4" s="111"/>
      <c r="J4" s="111"/>
      <c r="K4" s="111"/>
      <c r="L4" s="111"/>
      <c r="M4" s="111"/>
      <c r="N4" s="111"/>
      <c r="O4" s="111"/>
      <c r="P4" s="111"/>
      <c r="Q4" s="111"/>
      <c r="R4" s="111"/>
      <c r="S4" s="111"/>
      <c r="T4" s="111"/>
      <c r="U4" s="111"/>
    </row>
    <row r="5" spans="1:21">
      <c r="A5" s="99">
        <v>3</v>
      </c>
      <c r="B5" t="s">
        <v>26</v>
      </c>
      <c r="C5" s="99" t="s">
        <v>27</v>
      </c>
      <c r="D5" s="186">
        <v>998</v>
      </c>
      <c r="F5" t="s">
        <v>28</v>
      </c>
      <c r="G5" s="100">
        <v>22</v>
      </c>
      <c r="H5" s="111"/>
      <c r="I5" s="111"/>
      <c r="J5" s="111"/>
      <c r="K5" s="111"/>
      <c r="L5" s="111"/>
      <c r="M5" s="111"/>
      <c r="N5" s="111"/>
      <c r="O5" s="111"/>
      <c r="P5" s="111"/>
      <c r="Q5" s="111"/>
      <c r="R5" s="111"/>
      <c r="S5" s="111"/>
      <c r="T5" s="111"/>
      <c r="U5" s="111"/>
    </row>
    <row r="6" spans="1:21">
      <c r="A6" s="99">
        <v>4</v>
      </c>
      <c r="B6" t="s">
        <v>29</v>
      </c>
      <c r="C6" s="99" t="s">
        <v>30</v>
      </c>
      <c r="D6" s="99" t="s">
        <v>31</v>
      </c>
      <c r="F6" t="s">
        <v>32</v>
      </c>
      <c r="G6" s="187">
        <v>0.03</v>
      </c>
      <c r="H6" s="111"/>
      <c r="I6" s="111"/>
      <c r="J6" s="111"/>
      <c r="K6" s="111"/>
      <c r="L6" s="111"/>
      <c r="M6" s="111"/>
      <c r="N6" s="111"/>
      <c r="O6" s="111"/>
      <c r="P6" s="111"/>
      <c r="Q6" s="111"/>
      <c r="R6" s="111"/>
      <c r="S6" s="111"/>
      <c r="T6" s="111"/>
      <c r="U6" s="111"/>
    </row>
    <row r="7" spans="1:21">
      <c r="A7" s="99">
        <v>5</v>
      </c>
      <c r="B7" t="s">
        <v>33</v>
      </c>
      <c r="C7" s="99"/>
      <c r="D7" s="99" t="s">
        <v>34</v>
      </c>
      <c r="H7" s="111"/>
      <c r="I7" s="111"/>
      <c r="J7" s="111"/>
      <c r="K7" s="111"/>
      <c r="L7" s="111"/>
      <c r="M7" s="111"/>
      <c r="N7" s="111"/>
      <c r="O7" s="111"/>
      <c r="P7" s="111"/>
      <c r="Q7" s="111"/>
      <c r="R7" s="111"/>
      <c r="S7" s="111"/>
      <c r="T7" s="111"/>
      <c r="U7" s="111"/>
    </row>
    <row r="8" spans="6:21">
      <c r="F8" s="97" t="s">
        <v>35</v>
      </c>
      <c r="G8" s="97"/>
      <c r="H8" s="111"/>
      <c r="I8" s="111"/>
      <c r="J8" s="111"/>
      <c r="K8" s="111"/>
      <c r="L8" s="111"/>
      <c r="M8" s="111"/>
      <c r="N8" s="111"/>
      <c r="O8" s="111"/>
      <c r="P8" s="111"/>
      <c r="Q8" s="111"/>
      <c r="R8" s="111"/>
      <c r="S8" s="111"/>
      <c r="T8" s="111"/>
      <c r="U8" s="111"/>
    </row>
    <row r="9" spans="1:21">
      <c r="A9" s="77" t="s">
        <v>36</v>
      </c>
      <c r="B9" s="77"/>
      <c r="C9" s="77"/>
      <c r="D9" s="77"/>
      <c r="F9" s="22" t="s">
        <v>37</v>
      </c>
      <c r="G9" s="22" t="s">
        <v>38</v>
      </c>
      <c r="H9" s="111"/>
      <c r="I9" s="111"/>
      <c r="J9" s="111"/>
      <c r="K9" s="111"/>
      <c r="L9" s="111"/>
      <c r="M9" s="111"/>
      <c r="N9" s="111"/>
      <c r="O9" s="111"/>
      <c r="P9" s="111"/>
      <c r="Q9" s="111"/>
      <c r="R9" s="111"/>
      <c r="S9" s="111"/>
      <c r="T9" s="111"/>
      <c r="U9" s="111"/>
    </row>
    <row r="10" spans="1:21">
      <c r="A10" s="99" t="s">
        <v>39</v>
      </c>
      <c r="B10" s="22" t="s">
        <v>40</v>
      </c>
      <c r="C10" s="99" t="s">
        <v>18</v>
      </c>
      <c r="D10" s="99" t="s">
        <v>19</v>
      </c>
      <c r="F10" t="s">
        <v>41</v>
      </c>
      <c r="G10" s="104">
        <v>0.4337</v>
      </c>
      <c r="H10" s="111"/>
      <c r="I10" s="111"/>
      <c r="J10" s="111"/>
      <c r="K10" s="111"/>
      <c r="L10" s="111"/>
      <c r="M10" s="111"/>
      <c r="N10" s="111"/>
      <c r="O10" s="111"/>
      <c r="P10" s="111"/>
      <c r="Q10" s="111"/>
      <c r="R10" s="111"/>
      <c r="S10" s="111"/>
      <c r="T10" s="111"/>
      <c r="U10" s="111"/>
    </row>
    <row r="11" spans="1:21">
      <c r="A11" s="99" t="s">
        <v>42</v>
      </c>
      <c r="B11" t="s">
        <v>43</v>
      </c>
      <c r="C11" s="99"/>
      <c r="D11" s="105">
        <f>Salário_Normativo_da_Categoria_Profissional</f>
        <v>998</v>
      </c>
      <c r="F11" t="s">
        <v>44</v>
      </c>
      <c r="G11" s="104">
        <v>0.4337</v>
      </c>
      <c r="H11" s="111"/>
      <c r="I11" s="111"/>
      <c r="J11" s="111"/>
      <c r="K11" s="111"/>
      <c r="L11" s="111"/>
      <c r="M11" s="111"/>
      <c r="N11" s="111"/>
      <c r="O11" s="111"/>
      <c r="P11" s="111"/>
      <c r="Q11" s="111"/>
      <c r="R11" s="111"/>
      <c r="S11" s="111"/>
      <c r="T11" s="111"/>
      <c r="U11" s="111"/>
    </row>
    <row r="12" spans="1:21">
      <c r="A12" s="99" t="s">
        <v>45</v>
      </c>
      <c r="B12" t="s">
        <v>46</v>
      </c>
      <c r="C12" s="99"/>
      <c r="D12" s="105"/>
      <c r="F12" t="s">
        <v>47</v>
      </c>
      <c r="G12" s="104">
        <v>0.0218</v>
      </c>
      <c r="H12" s="111"/>
      <c r="I12" s="111"/>
      <c r="J12" s="111"/>
      <c r="K12" s="111"/>
      <c r="L12" s="111"/>
      <c r="M12" s="111"/>
      <c r="N12" s="111"/>
      <c r="O12" s="111"/>
      <c r="P12" s="111"/>
      <c r="Q12" s="111"/>
      <c r="R12" s="111"/>
      <c r="S12" s="111"/>
      <c r="T12" s="111"/>
      <c r="U12" s="111"/>
    </row>
    <row r="13" spans="1:21">
      <c r="A13" s="99" t="s">
        <v>48</v>
      </c>
      <c r="B13" t="s">
        <v>49</v>
      </c>
      <c r="C13" s="99"/>
      <c r="D13" s="105"/>
      <c r="H13" s="111"/>
      <c r="I13" s="111"/>
      <c r="J13" s="111"/>
      <c r="K13" s="111"/>
      <c r="L13" s="111"/>
      <c r="M13" s="111"/>
      <c r="N13" s="111"/>
      <c r="O13" s="111"/>
      <c r="P13" s="111"/>
      <c r="Q13" s="111"/>
      <c r="R13" s="111"/>
      <c r="S13" s="111"/>
      <c r="T13" s="111"/>
      <c r="U13" s="111"/>
    </row>
    <row r="14" spans="1:21">
      <c r="A14" s="99" t="s">
        <v>50</v>
      </c>
      <c r="B14" t="s">
        <v>51</v>
      </c>
      <c r="C14" s="99"/>
      <c r="D14" s="105"/>
      <c r="F14" s="97" t="s">
        <v>52</v>
      </c>
      <c r="G14" s="97"/>
      <c r="H14" s="111"/>
      <c r="I14" s="111"/>
      <c r="J14" s="111"/>
      <c r="K14" s="111"/>
      <c r="L14" s="111"/>
      <c r="M14" s="111"/>
      <c r="N14" s="111"/>
      <c r="O14" s="111"/>
      <c r="P14" s="111"/>
      <c r="Q14" s="111"/>
      <c r="R14" s="111"/>
      <c r="S14" s="111"/>
      <c r="T14" s="111"/>
      <c r="U14" s="111"/>
    </row>
    <row r="15" spans="1:21">
      <c r="A15" s="99" t="s">
        <v>53</v>
      </c>
      <c r="B15" t="s">
        <v>54</v>
      </c>
      <c r="C15" s="99"/>
      <c r="D15" s="105"/>
      <c r="F15" s="188" t="s">
        <v>17</v>
      </c>
      <c r="G15" s="188" t="s">
        <v>38</v>
      </c>
      <c r="H15" s="111"/>
      <c r="I15" s="111"/>
      <c r="J15" s="111"/>
      <c r="K15" s="111"/>
      <c r="L15" s="111"/>
      <c r="M15" s="111"/>
      <c r="N15" s="111"/>
      <c r="O15" s="111"/>
      <c r="P15" s="111"/>
      <c r="Q15" s="111"/>
      <c r="R15" s="111"/>
      <c r="S15" s="111"/>
      <c r="T15" s="111"/>
      <c r="U15" s="111"/>
    </row>
    <row r="16" spans="1:21">
      <c r="A16" s="99" t="s">
        <v>55</v>
      </c>
      <c r="B16" t="s">
        <v>56</v>
      </c>
      <c r="C16" s="99"/>
      <c r="D16" s="105"/>
      <c r="F16" s="111" t="s">
        <v>57</v>
      </c>
      <c r="G16" s="189">
        <v>0.0471</v>
      </c>
      <c r="H16" s="111"/>
      <c r="I16" s="111"/>
      <c r="J16" s="111"/>
      <c r="K16" s="111"/>
      <c r="L16" s="111"/>
      <c r="M16" s="111"/>
      <c r="N16" s="111"/>
      <c r="O16" s="111"/>
      <c r="P16" s="111"/>
      <c r="Q16" s="111"/>
      <c r="R16" s="111"/>
      <c r="S16" s="111"/>
      <c r="T16" s="111"/>
      <c r="U16" s="111"/>
    </row>
    <row r="17" spans="1:21">
      <c r="A17" s="99" t="s">
        <v>58</v>
      </c>
      <c r="C17" s="99"/>
      <c r="D17" s="105">
        <f>SUBTOTAL(109,Módulo1[Valor])</f>
        <v>998</v>
      </c>
      <c r="F17" s="111" t="s">
        <v>59</v>
      </c>
      <c r="G17" s="189">
        <v>0.0467</v>
      </c>
      <c r="H17" s="111"/>
      <c r="I17" s="111"/>
      <c r="J17" s="111"/>
      <c r="K17" s="111"/>
      <c r="L17" s="111"/>
      <c r="M17" s="111"/>
      <c r="N17" s="111"/>
      <c r="O17" s="111"/>
      <c r="P17" s="111"/>
      <c r="Q17" s="111"/>
      <c r="R17" s="111"/>
      <c r="S17" s="111"/>
      <c r="T17" s="111"/>
      <c r="U17" s="111"/>
    </row>
    <row r="18" spans="6:21">
      <c r="F18" s="111" t="s">
        <v>60</v>
      </c>
      <c r="G18" s="190">
        <v>0.0165</v>
      </c>
      <c r="H18" s="111"/>
      <c r="I18" s="111"/>
      <c r="J18" s="111"/>
      <c r="K18" s="111"/>
      <c r="L18" s="111"/>
      <c r="M18" s="111"/>
      <c r="N18" s="111"/>
      <c r="O18" s="111"/>
      <c r="P18" s="111"/>
      <c r="Q18" s="111"/>
      <c r="R18" s="111"/>
      <c r="S18" s="111"/>
      <c r="T18" s="111"/>
      <c r="U18" s="111"/>
    </row>
    <row r="19" spans="1:21">
      <c r="A19" s="108" t="s">
        <v>61</v>
      </c>
      <c r="B19" s="108"/>
      <c r="C19" s="108"/>
      <c r="D19" s="108"/>
      <c r="F19" s="111" t="s">
        <v>62</v>
      </c>
      <c r="G19" s="190">
        <v>0.076</v>
      </c>
      <c r="H19" s="111"/>
      <c r="I19" s="111"/>
      <c r="J19" s="111"/>
      <c r="K19" s="111"/>
      <c r="L19" s="111"/>
      <c r="M19" s="111"/>
      <c r="N19" s="111"/>
      <c r="O19" s="111"/>
      <c r="P19" s="111"/>
      <c r="Q19" s="111"/>
      <c r="R19" s="111"/>
      <c r="S19" s="111"/>
      <c r="T19" s="111"/>
      <c r="U19" s="111"/>
    </row>
    <row r="20" spans="1:21">
      <c r="A20" s="97" t="s">
        <v>63</v>
      </c>
      <c r="B20" s="97"/>
      <c r="C20" s="97"/>
      <c r="D20" s="97"/>
      <c r="F20" s="111" t="s">
        <v>64</v>
      </c>
      <c r="G20" s="190">
        <v>0.05</v>
      </c>
      <c r="H20" s="111"/>
      <c r="I20" s="111"/>
      <c r="J20" s="111"/>
      <c r="K20" s="111"/>
      <c r="L20" s="111"/>
      <c r="M20" s="111"/>
      <c r="N20" s="111"/>
      <c r="O20" s="111"/>
      <c r="P20" s="111"/>
      <c r="Q20" s="111"/>
      <c r="R20" s="111"/>
      <c r="S20" s="111"/>
      <c r="T20" s="111"/>
      <c r="U20" s="111"/>
    </row>
    <row r="21" spans="1:21">
      <c r="A21" s="99" t="s">
        <v>65</v>
      </c>
      <c r="B21" s="22" t="s">
        <v>66</v>
      </c>
      <c r="C21" s="99" t="s">
        <v>18</v>
      </c>
      <c r="D21" s="99" t="s">
        <v>19</v>
      </c>
      <c r="F21" s="111"/>
      <c r="G21" s="111"/>
      <c r="H21" s="111"/>
      <c r="I21" s="111"/>
      <c r="J21" s="111"/>
      <c r="K21" s="111"/>
      <c r="L21" s="111"/>
      <c r="M21" s="111"/>
      <c r="N21" s="111"/>
      <c r="O21" s="111"/>
      <c r="P21" s="111"/>
      <c r="Q21" s="111"/>
      <c r="R21" s="111"/>
      <c r="S21" s="111"/>
      <c r="T21" s="111"/>
      <c r="U21" s="111"/>
    </row>
    <row r="22" spans="1:21">
      <c r="A22" s="99" t="s">
        <v>42</v>
      </c>
      <c r="B22" t="s">
        <v>67</v>
      </c>
      <c r="D22" s="105">
        <f>Módulo1[[#Totals],[Valor]]/12</f>
        <v>83.1666666666667</v>
      </c>
      <c r="F22" s="111"/>
      <c r="G22" s="111"/>
      <c r="H22" s="111"/>
      <c r="I22" s="111"/>
      <c r="J22" s="111"/>
      <c r="K22" s="111"/>
      <c r="L22" s="111"/>
      <c r="M22" s="111"/>
      <c r="N22" s="111"/>
      <c r="O22" s="111"/>
      <c r="P22" s="111"/>
      <c r="Q22" s="111"/>
      <c r="R22" s="111"/>
      <c r="S22" s="111"/>
      <c r="T22" s="111"/>
      <c r="U22" s="111"/>
    </row>
    <row r="23" spans="1:21">
      <c r="A23" s="99" t="s">
        <v>45</v>
      </c>
      <c r="B23" t="s">
        <v>68</v>
      </c>
      <c r="D23" s="105">
        <f>(Módulo1[[#Totals],[Valor]]/12)*(1+(1/3))</f>
        <v>110.888888888889</v>
      </c>
      <c r="F23" s="111"/>
      <c r="G23" s="111"/>
      <c r="H23" s="111"/>
      <c r="I23" s="111"/>
      <c r="J23" s="111"/>
      <c r="K23" s="111"/>
      <c r="L23" s="111"/>
      <c r="M23" s="111"/>
      <c r="N23" s="111"/>
      <c r="O23" s="111"/>
      <c r="P23" s="111"/>
      <c r="Q23" s="111"/>
      <c r="R23" s="111"/>
      <c r="S23" s="111"/>
      <c r="T23" s="111"/>
      <c r="U23" s="111"/>
    </row>
    <row r="24" spans="1:21">
      <c r="A24" s="99" t="s">
        <v>58</v>
      </c>
      <c r="D24" s="105">
        <f>SUBTOTAL(109,Submódulo2.1[Valor])</f>
        <v>194.055555555556</v>
      </c>
      <c r="F24" s="111"/>
      <c r="G24" s="111"/>
      <c r="H24" s="111"/>
      <c r="I24" s="111"/>
      <c r="J24" s="111"/>
      <c r="K24" s="111"/>
      <c r="L24" s="111"/>
      <c r="M24" s="111"/>
      <c r="N24" s="111"/>
      <c r="O24" s="111"/>
      <c r="P24" s="111"/>
      <c r="Q24" s="111"/>
      <c r="R24" s="111"/>
      <c r="S24" s="111"/>
      <c r="T24" s="111"/>
      <c r="U24" s="111"/>
    </row>
    <row r="25" spans="1:21">
      <c r="A25" s="99"/>
      <c r="D25" s="105"/>
      <c r="F25" s="111"/>
      <c r="G25" s="111"/>
      <c r="H25" s="111"/>
      <c r="I25" s="111"/>
      <c r="J25" s="111"/>
      <c r="K25" s="111"/>
      <c r="L25" s="111"/>
      <c r="M25" s="111"/>
      <c r="N25" s="111"/>
      <c r="O25" s="111"/>
      <c r="P25" s="111"/>
      <c r="Q25" s="111"/>
      <c r="R25" s="111"/>
      <c r="S25" s="111"/>
      <c r="T25" s="111"/>
      <c r="U25" s="111"/>
    </row>
    <row r="26" spans="1:21">
      <c r="A26" s="109" t="s">
        <v>69</v>
      </c>
      <c r="B26" s="109"/>
      <c r="C26" s="109"/>
      <c r="D26" s="109"/>
      <c r="F26" s="111"/>
      <c r="G26" s="111"/>
      <c r="H26" s="111"/>
      <c r="I26" s="111"/>
      <c r="J26" s="111"/>
      <c r="K26" s="111"/>
      <c r="L26" s="111"/>
      <c r="M26" s="111"/>
      <c r="N26" s="111"/>
      <c r="O26" s="111"/>
      <c r="P26" s="111"/>
      <c r="Q26" s="111"/>
      <c r="R26" s="111"/>
      <c r="S26" s="111"/>
      <c r="T26" s="111"/>
      <c r="U26" s="111"/>
    </row>
    <row r="27" spans="1:21">
      <c r="A27" s="109" t="s">
        <v>16</v>
      </c>
      <c r="B27" s="109" t="s">
        <v>70</v>
      </c>
      <c r="C27" s="109" t="s">
        <v>71</v>
      </c>
      <c r="D27" s="191" t="s">
        <v>72</v>
      </c>
      <c r="F27" s="111"/>
      <c r="G27" s="111"/>
      <c r="H27" s="111"/>
      <c r="I27" s="111"/>
      <c r="J27" s="111"/>
      <c r="K27" s="111"/>
      <c r="L27" s="111"/>
      <c r="M27" s="111"/>
      <c r="N27" s="111"/>
      <c r="O27" s="111"/>
      <c r="P27" s="111"/>
      <c r="Q27" s="111"/>
      <c r="R27" s="111"/>
      <c r="S27" s="111"/>
      <c r="T27" s="111"/>
      <c r="U27" s="111"/>
    </row>
    <row r="28" ht="28.8" spans="1:21">
      <c r="A28" s="98" t="s">
        <v>42</v>
      </c>
      <c r="B28" s="192" t="s">
        <v>73</v>
      </c>
      <c r="C28" s="193" t="s">
        <v>74</v>
      </c>
      <c r="D28" s="192" t="s">
        <v>75</v>
      </c>
      <c r="F28" s="111"/>
      <c r="G28" s="111"/>
      <c r="H28" s="111"/>
      <c r="I28" s="111"/>
      <c r="J28" s="111"/>
      <c r="K28" s="111"/>
      <c r="L28" s="111"/>
      <c r="M28" s="111"/>
      <c r="N28" s="111"/>
      <c r="O28" s="111"/>
      <c r="P28" s="111"/>
      <c r="Q28" s="111"/>
      <c r="R28" s="111"/>
      <c r="S28" s="111"/>
      <c r="T28" s="111"/>
      <c r="U28" s="111"/>
    </row>
    <row r="29" ht="28.8" spans="1:21">
      <c r="A29" s="98" t="s">
        <v>45</v>
      </c>
      <c r="B29" s="194" t="s">
        <v>68</v>
      </c>
      <c r="C29" s="193" t="s">
        <v>74</v>
      </c>
      <c r="D29" s="192" t="s">
        <v>76</v>
      </c>
      <c r="F29" s="111"/>
      <c r="G29" s="111"/>
      <c r="H29" s="111"/>
      <c r="I29" s="111"/>
      <c r="J29" s="111"/>
      <c r="K29" s="111"/>
      <c r="L29" s="111"/>
      <c r="M29" s="111"/>
      <c r="N29" s="111"/>
      <c r="O29" s="111"/>
      <c r="P29" s="111"/>
      <c r="Q29" s="111"/>
      <c r="R29" s="111"/>
      <c r="S29" s="111"/>
      <c r="T29" s="111"/>
      <c r="U29" s="111"/>
    </row>
    <row r="30" spans="1:21">
      <c r="A30" s="99"/>
      <c r="B30" s="99"/>
      <c r="C30" s="128"/>
      <c r="F30" s="111"/>
      <c r="G30" s="111"/>
      <c r="H30" s="111"/>
      <c r="I30" s="111"/>
      <c r="J30" s="111"/>
      <c r="K30" s="111"/>
      <c r="L30" s="111"/>
      <c r="M30" s="111"/>
      <c r="N30" s="111"/>
      <c r="O30" s="111"/>
      <c r="P30" s="111"/>
      <c r="Q30" s="111"/>
      <c r="R30" s="111"/>
      <c r="S30" s="111"/>
      <c r="T30" s="111"/>
      <c r="U30" s="111"/>
    </row>
    <row r="31" spans="1:4">
      <c r="A31" s="97" t="s">
        <v>77</v>
      </c>
      <c r="B31" s="97"/>
      <c r="C31" s="97"/>
      <c r="D31" s="97"/>
    </row>
    <row r="32" spans="1:4">
      <c r="A32" s="99" t="s">
        <v>78</v>
      </c>
      <c r="B32" s="22" t="s">
        <v>79</v>
      </c>
      <c r="C32" s="99" t="s">
        <v>38</v>
      </c>
      <c r="D32" s="99" t="s">
        <v>80</v>
      </c>
    </row>
    <row r="33" spans="1:4">
      <c r="A33" s="99" t="s">
        <v>42</v>
      </c>
      <c r="B33" t="s">
        <v>81</v>
      </c>
      <c r="C33" s="110">
        <v>0.2</v>
      </c>
      <c r="D33" s="105">
        <f>C33*(Módulo1[[#Totals],[Valor]]+Submódulo2.1[[#Totals],[Valor]])</f>
        <v>238.411111111111</v>
      </c>
    </row>
    <row r="34" spans="1:4">
      <c r="A34" s="99" t="s">
        <v>45</v>
      </c>
      <c r="B34" t="s">
        <v>82</v>
      </c>
      <c r="C34" s="110">
        <v>0.025</v>
      </c>
      <c r="D34" s="105">
        <f>C34*(Módulo1[[#Totals],[Valor]]+Submódulo2.1[[#Totals],[Valor]])</f>
        <v>29.8013888888889</v>
      </c>
    </row>
    <row r="35" spans="1:4">
      <c r="A35" s="99" t="s">
        <v>48</v>
      </c>
      <c r="B35" t="s">
        <v>83</v>
      </c>
      <c r="C35" s="110">
        <f>Servente!G6</f>
        <v>0.03</v>
      </c>
      <c r="D35" s="105">
        <f>C35*(Módulo1[[#Totals],[Valor]]+Submódulo2.1[[#Totals],[Valor]])</f>
        <v>35.7616666666667</v>
      </c>
    </row>
    <row r="36" spans="1:4">
      <c r="A36" s="99" t="s">
        <v>50</v>
      </c>
      <c r="B36" t="s">
        <v>84</v>
      </c>
      <c r="C36" s="110">
        <v>0.015</v>
      </c>
      <c r="D36" s="105">
        <f>C36*(Módulo1[[#Totals],[Valor]]+Submódulo2.1[[#Totals],[Valor]])</f>
        <v>17.8808333333333</v>
      </c>
    </row>
    <row r="37" spans="1:4">
      <c r="A37" s="99" t="s">
        <v>53</v>
      </c>
      <c r="B37" t="s">
        <v>85</v>
      </c>
      <c r="C37" s="110">
        <v>0.01</v>
      </c>
      <c r="D37" s="105">
        <f>C37*(Módulo1[[#Totals],[Valor]]+Submódulo2.1[[#Totals],[Valor]])</f>
        <v>11.9205555555556</v>
      </c>
    </row>
    <row r="38" spans="1:4">
      <c r="A38" s="99" t="s">
        <v>55</v>
      </c>
      <c r="B38" t="s">
        <v>86</v>
      </c>
      <c r="C38" s="110">
        <v>0.006</v>
      </c>
      <c r="D38" s="105">
        <f>C38*(Módulo1[[#Totals],[Valor]]+Submódulo2.1[[#Totals],[Valor]])</f>
        <v>7.15233333333333</v>
      </c>
    </row>
    <row r="39" spans="1:4">
      <c r="A39" s="99" t="s">
        <v>87</v>
      </c>
      <c r="B39" t="s">
        <v>88</v>
      </c>
      <c r="C39" s="110">
        <v>0.002</v>
      </c>
      <c r="D39" s="105">
        <f>C39*(Módulo1[[#Totals],[Valor]]+Submódulo2.1[[#Totals],[Valor]])</f>
        <v>2.38411111111111</v>
      </c>
    </row>
    <row r="40" spans="1:4">
      <c r="A40" s="99" t="s">
        <v>89</v>
      </c>
      <c r="B40" t="s">
        <v>90</v>
      </c>
      <c r="C40" s="110">
        <v>0.08</v>
      </c>
      <c r="D40" s="105">
        <f>C40*(Módulo1[[#Totals],[Valor]]+Submódulo2.1[[#Totals],[Valor]])</f>
        <v>95.3644444444445</v>
      </c>
    </row>
    <row r="41" spans="1:4">
      <c r="A41" s="99" t="s">
        <v>58</v>
      </c>
      <c r="C41" s="116">
        <f>SUBTOTAL(109,Submódulo2.2[Percentual])</f>
        <v>0.368</v>
      </c>
      <c r="D41" s="105">
        <f>SUBTOTAL(109,Submódulo2.2[Valor ])</f>
        <v>438.676444444444</v>
      </c>
    </row>
    <row r="42" spans="1:4">
      <c r="A42" s="99"/>
      <c r="C42" s="116"/>
      <c r="D42" s="105"/>
    </row>
    <row r="43" spans="1:4">
      <c r="A43" s="109" t="s">
        <v>91</v>
      </c>
      <c r="B43" s="109"/>
      <c r="C43" s="109"/>
      <c r="D43" s="109"/>
    </row>
    <row r="44" spans="1:4">
      <c r="A44" s="109" t="s">
        <v>16</v>
      </c>
      <c r="B44" s="109" t="s">
        <v>70</v>
      </c>
      <c r="C44" s="109" t="s">
        <v>71</v>
      </c>
      <c r="D44" s="191" t="s">
        <v>72</v>
      </c>
    </row>
    <row r="45" spans="1:4">
      <c r="A45" s="98" t="s">
        <v>92</v>
      </c>
      <c r="B45" s="192" t="s">
        <v>79</v>
      </c>
      <c r="C45" s="192" t="s">
        <v>93</v>
      </c>
      <c r="D45" s="192" t="s">
        <v>94</v>
      </c>
    </row>
    <row r="47" spans="1:4">
      <c r="A47" s="97" t="s">
        <v>95</v>
      </c>
      <c r="B47" s="97"/>
      <c r="C47" s="97"/>
      <c r="D47" s="97"/>
    </row>
    <row r="48" spans="1:4">
      <c r="A48" s="99" t="s">
        <v>96</v>
      </c>
      <c r="B48" s="22" t="s">
        <v>97</v>
      </c>
      <c r="C48" s="99" t="s">
        <v>18</v>
      </c>
      <c r="D48" s="99" t="s">
        <v>19</v>
      </c>
    </row>
    <row r="49" spans="1:4">
      <c r="A49" s="99" t="s">
        <v>42</v>
      </c>
      <c r="B49" t="s">
        <v>98</v>
      </c>
      <c r="D49" s="105">
        <f>IF(G3=0,0,(Servente!G3*2*Servente!G5)-(6%*_1A))</f>
        <v>0</v>
      </c>
    </row>
    <row r="50" spans="1:4">
      <c r="A50" s="99" t="s">
        <v>45</v>
      </c>
      <c r="B50" t="s">
        <v>99</v>
      </c>
      <c r="D50" s="105">
        <f>(Servente!G4*Servente!G5)*80%</f>
        <v>211.2</v>
      </c>
    </row>
    <row r="51" spans="1:4">
      <c r="A51" s="99" t="s">
        <v>48</v>
      </c>
      <c r="B51" t="s">
        <v>100</v>
      </c>
      <c r="D51" s="105"/>
    </row>
    <row r="52" spans="1:4">
      <c r="A52" s="99" t="s">
        <v>50</v>
      </c>
      <c r="B52" t="s">
        <v>56</v>
      </c>
      <c r="D52" s="105"/>
    </row>
    <row r="53" spans="1:4">
      <c r="A53" s="99" t="s">
        <v>58</v>
      </c>
      <c r="D53" s="105">
        <v>211.2</v>
      </c>
    </row>
    <row r="54" spans="1:4">
      <c r="A54" s="99"/>
      <c r="D54" s="105"/>
    </row>
    <row r="55" spans="1:4">
      <c r="A55" s="109" t="s">
        <v>101</v>
      </c>
      <c r="B55" s="109"/>
      <c r="C55" s="109"/>
      <c r="D55" s="109"/>
    </row>
    <row r="56" spans="1:4">
      <c r="A56" s="109" t="s">
        <v>16</v>
      </c>
      <c r="B56" s="109" t="s">
        <v>70</v>
      </c>
      <c r="C56" s="109" t="s">
        <v>71</v>
      </c>
      <c r="D56" s="109" t="s">
        <v>72</v>
      </c>
    </row>
    <row r="57" ht="43.2" spans="1:4">
      <c r="A57" s="98" t="s">
        <v>42</v>
      </c>
      <c r="B57" s="192" t="s">
        <v>98</v>
      </c>
      <c r="C57" s="193" t="s">
        <v>102</v>
      </c>
      <c r="D57" s="193" t="s">
        <v>103</v>
      </c>
    </row>
    <row r="58" ht="28.8" spans="1:4">
      <c r="A58" s="98" t="s">
        <v>45</v>
      </c>
      <c r="B58" s="194" t="s">
        <v>99</v>
      </c>
      <c r="C58" s="193" t="s">
        <v>102</v>
      </c>
      <c r="D58" s="193" t="s">
        <v>104</v>
      </c>
    </row>
    <row r="59" ht="19.5" customHeight="1" spans="1:4">
      <c r="A59" s="99"/>
      <c r="D59" s="105"/>
    </row>
    <row r="60" spans="1:4">
      <c r="A60" s="97" t="s">
        <v>105</v>
      </c>
      <c r="B60" s="97"/>
      <c r="C60" s="97"/>
      <c r="D60" s="97"/>
    </row>
    <row r="61" spans="1:4">
      <c r="A61" s="99" t="s">
        <v>106</v>
      </c>
      <c r="B61" s="22" t="s">
        <v>107</v>
      </c>
      <c r="C61" s="99" t="s">
        <v>18</v>
      </c>
      <c r="D61" s="99" t="s">
        <v>19</v>
      </c>
    </row>
    <row r="62" spans="1:4">
      <c r="A62" s="99" t="s">
        <v>65</v>
      </c>
      <c r="B62" t="s">
        <v>66</v>
      </c>
      <c r="C62" s="99"/>
      <c r="D62" s="105">
        <f>Submódulo2.1[[#Totals],[Valor]]</f>
        <v>194.055555555556</v>
      </c>
    </row>
    <row r="63" spans="1:4">
      <c r="A63" s="99" t="s">
        <v>78</v>
      </c>
      <c r="B63" t="s">
        <v>79</v>
      </c>
      <c r="C63" s="99"/>
      <c r="D63" s="105">
        <f>Submódulo2.2[[#Totals],[Valor ]]</f>
        <v>438.676444444444</v>
      </c>
    </row>
    <row r="64" spans="1:4">
      <c r="A64" s="99" t="s">
        <v>96</v>
      </c>
      <c r="B64" t="s">
        <v>97</v>
      </c>
      <c r="C64" s="99"/>
      <c r="D64" s="105">
        <f>Submódulo2.3[[#Totals],[Valor]]</f>
        <v>211.2</v>
      </c>
    </row>
    <row r="65" spans="1:4">
      <c r="A65" s="99" t="s">
        <v>58</v>
      </c>
      <c r="C65" s="99"/>
      <c r="D65" s="105">
        <v>843.932</v>
      </c>
    </row>
    <row r="67" spans="1:4">
      <c r="A67" s="77" t="s">
        <v>108</v>
      </c>
      <c r="B67" s="77"/>
      <c r="C67" s="77"/>
      <c r="D67" s="77"/>
    </row>
    <row r="68" spans="1:4">
      <c r="A68" s="99" t="s">
        <v>109</v>
      </c>
      <c r="B68" s="22" t="s">
        <v>110</v>
      </c>
      <c r="C68" s="99" t="s">
        <v>18</v>
      </c>
      <c r="D68" s="99" t="s">
        <v>19</v>
      </c>
    </row>
    <row r="69" spans="1:4">
      <c r="A69" s="99" t="s">
        <v>42</v>
      </c>
      <c r="B69" t="s">
        <v>111</v>
      </c>
      <c r="D69" s="105">
        <f>((Módulo1[[#Totals],[Valor]]+D62+D64)/12)*Servente!G10</f>
        <v>50.715994537037</v>
      </c>
    </row>
    <row r="70" spans="1:4">
      <c r="A70" s="99" t="s">
        <v>45</v>
      </c>
      <c r="B70" t="s">
        <v>112</v>
      </c>
      <c r="D70" s="105">
        <f>(D40/12)*Servente!G10</f>
        <v>3.44662996296296</v>
      </c>
    </row>
    <row r="71" spans="1:4">
      <c r="A71" s="99" t="s">
        <v>48</v>
      </c>
      <c r="B71" t="s">
        <v>113</v>
      </c>
      <c r="D71" s="105">
        <f>D40*50%*Servente!G10</f>
        <v>20.6797797777778</v>
      </c>
    </row>
    <row r="72" spans="1:4">
      <c r="A72" s="99" t="s">
        <v>50</v>
      </c>
      <c r="B72" t="s">
        <v>114</v>
      </c>
      <c r="D72" s="105">
        <f>((Módulo1[[#Totals],[Valor]]+ResumoMódulo2[[#Totals],[Valor]])/12)*Servente!G11</f>
        <v>66.5704923666667</v>
      </c>
    </row>
    <row r="73" spans="1:4">
      <c r="A73" s="99" t="s">
        <v>53</v>
      </c>
      <c r="B73" t="s">
        <v>115</v>
      </c>
      <c r="D73" s="105">
        <f>D40*50%*Servente!G11</f>
        <v>20.6797797777778</v>
      </c>
    </row>
    <row r="74" spans="1:4">
      <c r="A74" s="99" t="s">
        <v>55</v>
      </c>
      <c r="B74" t="s">
        <v>116</v>
      </c>
      <c r="D74" s="105">
        <f>-D62*Servente!G12</f>
        <v>-4.23041111111111</v>
      </c>
    </row>
    <row r="75" spans="1:4">
      <c r="A75" s="99" t="s">
        <v>58</v>
      </c>
      <c r="D75" s="105">
        <f>SUBTOTAL(109,Módulo3[Valor])</f>
        <v>157.862265311111</v>
      </c>
    </row>
    <row r="76" spans="1:4">
      <c r="A76" s="99"/>
      <c r="D76" s="105"/>
    </row>
    <row r="77" spans="1:4">
      <c r="A77" s="109" t="s">
        <v>117</v>
      </c>
      <c r="B77" s="109"/>
      <c r="C77" s="109"/>
      <c r="D77" s="109"/>
    </row>
    <row r="78" spans="1:4">
      <c r="A78" s="109" t="s">
        <v>16</v>
      </c>
      <c r="B78" s="109" t="s">
        <v>70</v>
      </c>
      <c r="C78" s="109" t="s">
        <v>71</v>
      </c>
      <c r="D78" s="109" t="s">
        <v>72</v>
      </c>
    </row>
    <row r="79" ht="57.6" spans="1:4">
      <c r="A79" s="98" t="s">
        <v>42</v>
      </c>
      <c r="B79" s="192" t="s">
        <v>111</v>
      </c>
      <c r="C79" s="193" t="s">
        <v>118</v>
      </c>
      <c r="D79" s="193" t="s">
        <v>119</v>
      </c>
    </row>
    <row r="80" ht="57.6" spans="1:4">
      <c r="A80" s="98" t="s">
        <v>45</v>
      </c>
      <c r="B80" s="194" t="s">
        <v>112</v>
      </c>
      <c r="C80" s="193" t="s">
        <v>120</v>
      </c>
      <c r="D80" s="193" t="s">
        <v>119</v>
      </c>
    </row>
    <row r="81" ht="72" spans="1:4">
      <c r="A81" s="98" t="s">
        <v>48</v>
      </c>
      <c r="B81" s="194" t="s">
        <v>113</v>
      </c>
      <c r="C81" s="193" t="s">
        <v>120</v>
      </c>
      <c r="D81" s="195" t="s">
        <v>121</v>
      </c>
    </row>
    <row r="82" ht="57.6" spans="1:4">
      <c r="A82" s="98" t="s">
        <v>50</v>
      </c>
      <c r="B82" s="119" t="s">
        <v>114</v>
      </c>
      <c r="C82" s="193" t="s">
        <v>122</v>
      </c>
      <c r="D82" s="195" t="s">
        <v>123</v>
      </c>
    </row>
    <row r="83" ht="72" spans="1:4">
      <c r="A83" s="98" t="s">
        <v>53</v>
      </c>
      <c r="B83" s="119" t="s">
        <v>115</v>
      </c>
      <c r="C83" s="193" t="s">
        <v>120</v>
      </c>
      <c r="D83" s="195" t="s">
        <v>124</v>
      </c>
    </row>
    <row r="84" ht="57.6" spans="1:4">
      <c r="A84" s="98" t="s">
        <v>55</v>
      </c>
      <c r="B84" s="119" t="s">
        <v>116</v>
      </c>
      <c r="C84" s="193" t="s">
        <v>125</v>
      </c>
      <c r="D84" s="195" t="s">
        <v>126</v>
      </c>
    </row>
    <row r="86" ht="15" customHeight="1" spans="1:4">
      <c r="A86" s="126" t="s">
        <v>127</v>
      </c>
      <c r="B86" s="126"/>
      <c r="C86" s="126"/>
      <c r="D86" s="126"/>
    </row>
    <row r="87" spans="1:4">
      <c r="A87" s="97" t="s">
        <v>128</v>
      </c>
      <c r="B87" s="97"/>
      <c r="C87" s="97"/>
      <c r="D87" s="97"/>
    </row>
    <row r="88" spans="1:4">
      <c r="A88" s="99" t="s">
        <v>129</v>
      </c>
      <c r="B88" s="22" t="s">
        <v>130</v>
      </c>
      <c r="C88" s="99" t="s">
        <v>131</v>
      </c>
      <c r="D88" s="99" t="s">
        <v>19</v>
      </c>
    </row>
    <row r="89" spans="1:4">
      <c r="A89" s="99" t="s">
        <v>42</v>
      </c>
      <c r="B89" t="s">
        <v>132</v>
      </c>
      <c r="C89" s="99">
        <v>20.71</v>
      </c>
      <c r="D89" s="105">
        <f>(((Módulo1[[#Totals],[Valor]]+ResumoMódulo2[[#Totals],[Valor]]+Módulo3[[#Totals],[Valor]])/30)*C89)/12</f>
        <v>115.043720096092</v>
      </c>
    </row>
    <row r="90" spans="1:4">
      <c r="A90" s="99" t="s">
        <v>45</v>
      </c>
      <c r="B90" t="s">
        <v>133</v>
      </c>
      <c r="C90" s="99">
        <v>1.4181</v>
      </c>
      <c r="D90" s="105">
        <f>(((Módulo1[[#Totals],[Valor]]+ResumoMódulo2[[#Totals],[Valor]]+Módulo3[[#Totals],[Valor]])/30)*C90)/12</f>
        <v>7.87752291010468</v>
      </c>
    </row>
    <row r="91" spans="1:4">
      <c r="A91" s="99" t="s">
        <v>48</v>
      </c>
      <c r="B91" t="s">
        <v>134</v>
      </c>
      <c r="C91" s="99">
        <v>0.1898</v>
      </c>
      <c r="D91" s="105">
        <f>(((Módulo1[[#Totals],[Valor]]+ResumoMódulo2[[#Totals],[Valor]]+Módulo3[[#Totals],[Valor]])/30)*C91)/12</f>
        <v>1.05433597654458</v>
      </c>
    </row>
    <row r="92" spans="1:4">
      <c r="A92" s="99" t="s">
        <v>50</v>
      </c>
      <c r="B92" t="s">
        <v>135</v>
      </c>
      <c r="C92" s="99">
        <v>0.9545</v>
      </c>
      <c r="D92" s="105">
        <f>(((Módulo1[[#Totals],[Valor]]+ResumoMódulo2[[#Totals],[Valor]]+Módulo3[[#Totals],[Valor]])/30)*C92)/12</f>
        <v>5.3022322951096</v>
      </c>
    </row>
    <row r="93" spans="1:4">
      <c r="A93" s="99" t="s">
        <v>53</v>
      </c>
      <c r="B93" t="s">
        <v>136</v>
      </c>
      <c r="C93" s="99">
        <v>2.4723</v>
      </c>
      <c r="D93" s="105">
        <f>(((Módulo1[[#Totals],[Valor]]+ResumoMódulo2[[#Totals],[Valor]]+Módulo3[[#Totals],[Valor]])/30)*C93)/12</f>
        <v>13.7335871170241</v>
      </c>
    </row>
    <row r="94" spans="1:4">
      <c r="A94" s="99" t="s">
        <v>55</v>
      </c>
      <c r="B94" t="s">
        <v>137</v>
      </c>
      <c r="C94" s="99">
        <v>3.4521</v>
      </c>
      <c r="D94" s="105">
        <f>(((Módulo1[[#Totals],[Valor]]+ResumoMódulo2[[#Totals],[Valor]]+Módulo3[[#Totals],[Valor]])/30)*C94)/12</f>
        <v>19.1763605091125</v>
      </c>
    </row>
    <row r="95" spans="1:4">
      <c r="A95" s="99" t="s">
        <v>58</v>
      </c>
      <c r="C95" s="99">
        <f>SUBTOTAL(109,Submódulo4.1[Dias de ausência])</f>
        <v>29.1968</v>
      </c>
      <c r="D95" s="105">
        <f>SUBTOTAL(109,Submódulo4.1[Valor])</f>
        <v>162.187758903987</v>
      </c>
    </row>
    <row r="96" spans="1:4">
      <c r="A96" s="99"/>
      <c r="C96" s="99"/>
      <c r="D96" s="105"/>
    </row>
    <row r="97" spans="1:4">
      <c r="A97" s="109" t="s">
        <v>138</v>
      </c>
      <c r="B97" s="109"/>
      <c r="C97" s="109"/>
      <c r="D97" s="109"/>
    </row>
    <row r="98" spans="1:4">
      <c r="A98" s="109" t="s">
        <v>16</v>
      </c>
      <c r="B98" s="109" t="s">
        <v>70</v>
      </c>
      <c r="C98" s="109" t="s">
        <v>71</v>
      </c>
      <c r="D98" s="109" t="s">
        <v>72</v>
      </c>
    </row>
    <row r="99" spans="1:4">
      <c r="A99" s="98" t="s">
        <v>139</v>
      </c>
      <c r="B99" s="192" t="s">
        <v>140</v>
      </c>
      <c r="C99" s="193"/>
      <c r="D99" s="193"/>
    </row>
    <row r="100" ht="43.2" spans="1:4">
      <c r="A100" s="98" t="s">
        <v>139</v>
      </c>
      <c r="B100" s="194" t="s">
        <v>141</v>
      </c>
      <c r="C100" s="193" t="s">
        <v>142</v>
      </c>
      <c r="D100" s="193" t="s">
        <v>143</v>
      </c>
    </row>
    <row r="101" spans="1:4">
      <c r="A101" s="99"/>
      <c r="C101" s="99"/>
      <c r="D101" s="105"/>
    </row>
    <row r="102" spans="1:4">
      <c r="A102" s="97" t="s">
        <v>144</v>
      </c>
      <c r="B102" s="97"/>
      <c r="C102" s="97"/>
      <c r="D102" s="97"/>
    </row>
    <row r="103" spans="1:4">
      <c r="A103" s="99" t="s">
        <v>145</v>
      </c>
      <c r="B103" s="22" t="s">
        <v>146</v>
      </c>
      <c r="C103" s="99" t="s">
        <v>18</v>
      </c>
      <c r="D103" s="99" t="s">
        <v>19</v>
      </c>
    </row>
    <row r="104" spans="1:4">
      <c r="A104" s="99" t="s">
        <v>42</v>
      </c>
      <c r="B104" t="s">
        <v>147</v>
      </c>
      <c r="C104" s="99"/>
      <c r="D104" s="105"/>
    </row>
    <row r="105" spans="1:4">
      <c r="A105" s="99" t="s">
        <v>58</v>
      </c>
      <c r="C105" s="99"/>
      <c r="D105" s="105">
        <f>SUBTOTAL(109,Submódulo4.2[Valor])</f>
        <v>0</v>
      </c>
    </row>
    <row r="107" spans="1:4">
      <c r="A107" s="97" t="s">
        <v>148</v>
      </c>
      <c r="B107" s="97"/>
      <c r="C107" s="97"/>
      <c r="D107" s="97"/>
    </row>
    <row r="108" spans="1:4">
      <c r="A108" s="99" t="s">
        <v>149</v>
      </c>
      <c r="B108" s="22" t="s">
        <v>150</v>
      </c>
      <c r="C108" s="99" t="s">
        <v>18</v>
      </c>
      <c r="D108" s="99" t="s">
        <v>19</v>
      </c>
    </row>
    <row r="109" spans="1:4">
      <c r="A109" s="99" t="s">
        <v>129</v>
      </c>
      <c r="B109" t="s">
        <v>130</v>
      </c>
      <c r="D109" s="105">
        <f>Submódulo4.1[[#Totals],[Valor]]</f>
        <v>162.187758903987</v>
      </c>
    </row>
    <row r="110" spans="1:4">
      <c r="A110" s="99" t="s">
        <v>145</v>
      </c>
      <c r="B110" t="s">
        <v>151</v>
      </c>
      <c r="D110" s="105">
        <f>Submódulo4.2[[#Totals],[Valor]]</f>
        <v>0</v>
      </c>
    </row>
    <row r="111" spans="1:4">
      <c r="A111" s="99" t="s">
        <v>58</v>
      </c>
      <c r="D111" s="105">
        <f>SUBTOTAL(109,ResumoMódulo4[Valor])</f>
        <v>162.187758903987</v>
      </c>
    </row>
    <row r="113" spans="1:4">
      <c r="A113" s="77" t="s">
        <v>152</v>
      </c>
      <c r="B113" s="77"/>
      <c r="C113" s="77"/>
      <c r="D113" s="77"/>
    </row>
    <row r="114" spans="1:4">
      <c r="A114" s="99" t="s">
        <v>153</v>
      </c>
      <c r="B114" s="22" t="s">
        <v>154</v>
      </c>
      <c r="C114" s="99" t="s">
        <v>18</v>
      </c>
      <c r="D114" s="99" t="s">
        <v>19</v>
      </c>
    </row>
    <row r="115" spans="1:4">
      <c r="A115" s="99" t="s">
        <v>42</v>
      </c>
      <c r="B115" t="s">
        <v>155</v>
      </c>
      <c r="D115" s="105" t="e">
        <f>#REF!</f>
        <v>#REF!</v>
      </c>
    </row>
    <row r="116" spans="1:4">
      <c r="A116" s="99" t="s">
        <v>45</v>
      </c>
      <c r="B116" t="s">
        <v>156</v>
      </c>
      <c r="D116" s="105" t="e">
        <f>#REF!/#REF!</f>
        <v>#REF!</v>
      </c>
    </row>
    <row r="117" spans="1:4">
      <c r="A117" s="99" t="s">
        <v>48</v>
      </c>
      <c r="B117" t="s">
        <v>157</v>
      </c>
      <c r="D117" s="105" t="e">
        <f>#REF!/#REF!</f>
        <v>#REF!</v>
      </c>
    </row>
    <row r="118" spans="1:4">
      <c r="A118" s="99" t="s">
        <v>50</v>
      </c>
      <c r="B118" t="s">
        <v>158</v>
      </c>
      <c r="D118" s="105"/>
    </row>
    <row r="119" spans="1:4">
      <c r="A119" s="99" t="s">
        <v>58</v>
      </c>
      <c r="D119" s="105" t="e">
        <f>SUBTOTAL(109,Módulo5[Valor])</f>
        <v>#REF!</v>
      </c>
    </row>
    <row r="120" spans="1:4">
      <c r="A120" s="99"/>
      <c r="D120" s="105"/>
    </row>
    <row r="121" spans="1:4">
      <c r="A121" s="109" t="s">
        <v>159</v>
      </c>
      <c r="B121" s="109"/>
      <c r="C121" s="109"/>
      <c r="D121" s="109"/>
    </row>
    <row r="122" spans="1:4">
      <c r="A122" s="109" t="s">
        <v>16</v>
      </c>
      <c r="B122" s="109" t="s">
        <v>70</v>
      </c>
      <c r="C122" s="109" t="s">
        <v>71</v>
      </c>
      <c r="D122" s="109" t="s">
        <v>72</v>
      </c>
    </row>
    <row r="123" spans="1:4">
      <c r="A123" s="98" t="s">
        <v>42</v>
      </c>
      <c r="B123" s="192" t="s">
        <v>155</v>
      </c>
      <c r="C123" s="193" t="s">
        <v>160</v>
      </c>
      <c r="D123" s="193"/>
    </row>
    <row r="124" ht="28.8" spans="1:4">
      <c r="A124" s="98" t="s">
        <v>45</v>
      </c>
      <c r="B124" s="194" t="s">
        <v>156</v>
      </c>
      <c r="C124" s="193" t="s">
        <v>161</v>
      </c>
      <c r="D124" s="193" t="s">
        <v>162</v>
      </c>
    </row>
    <row r="125" ht="28.8" spans="1:4">
      <c r="A125" s="98" t="s">
        <v>48</v>
      </c>
      <c r="B125" s="194" t="s">
        <v>157</v>
      </c>
      <c r="C125" s="193" t="s">
        <v>163</v>
      </c>
      <c r="D125" s="193" t="s">
        <v>162</v>
      </c>
    </row>
    <row r="126" spans="1:4">
      <c r="A126" s="98" t="s">
        <v>50</v>
      </c>
      <c r="B126" s="194" t="s">
        <v>158</v>
      </c>
      <c r="C126" s="193"/>
      <c r="D126" s="193"/>
    </row>
    <row r="128" spans="1:4">
      <c r="A128" s="77" t="s">
        <v>164</v>
      </c>
      <c r="B128" s="77"/>
      <c r="C128" s="77"/>
      <c r="D128" s="77"/>
    </row>
    <row r="129" outlineLevel="1" spans="1:4">
      <c r="A129" s="99" t="s">
        <v>165</v>
      </c>
      <c r="B129" t="s">
        <v>166</v>
      </c>
      <c r="C129" s="99" t="s">
        <v>38</v>
      </c>
      <c r="D129" s="99" t="s">
        <v>19</v>
      </c>
    </row>
    <row r="130" outlineLevel="1" spans="1:4">
      <c r="A130" s="99" t="s">
        <v>42</v>
      </c>
      <c r="B130" t="s">
        <v>167</v>
      </c>
      <c r="C130" s="110">
        <f>G16</f>
        <v>0.0471</v>
      </c>
      <c r="D130" s="105" t="e">
        <f>Módulo6[[#This Row],[Percentual]]*(D141+D142+D143+D144+D145)</f>
        <v>#REF!</v>
      </c>
    </row>
    <row r="131" outlineLevel="1" spans="1:4">
      <c r="A131" s="99" t="s">
        <v>45</v>
      </c>
      <c r="B131" t="s">
        <v>59</v>
      </c>
      <c r="C131" s="110">
        <f>G17</f>
        <v>0.0467</v>
      </c>
      <c r="D131" s="105" t="e">
        <f>(SUM(D141:D145)+D130)*Módulo6[[#This Row],[Percentual]]</f>
        <v>#REF!</v>
      </c>
    </row>
    <row r="132" spans="1:4">
      <c r="A132" s="99" t="s">
        <v>48</v>
      </c>
      <c r="B132" t="s">
        <v>168</v>
      </c>
      <c r="C132" s="110">
        <f>SUM(C133:C135)</f>
        <v>0.1425</v>
      </c>
      <c r="D132" s="105" t="e">
        <f>Módulo6[[#This Row],[Percentual]]*D148</f>
        <v>#REF!</v>
      </c>
    </row>
    <row r="133" spans="1:4">
      <c r="A133" s="99" t="s">
        <v>169</v>
      </c>
      <c r="B133" t="s">
        <v>60</v>
      </c>
      <c r="C133" s="110">
        <f>G18</f>
        <v>0.0165</v>
      </c>
      <c r="D133" s="105" t="e">
        <f>Módulo6[[#This Row],[Percentual]]*D148</f>
        <v>#REF!</v>
      </c>
    </row>
    <row r="134" spans="1:4">
      <c r="A134" s="99" t="s">
        <v>170</v>
      </c>
      <c r="B134" t="s">
        <v>62</v>
      </c>
      <c r="C134" s="110">
        <f>G19</f>
        <v>0.076</v>
      </c>
      <c r="D134" s="105" t="e">
        <f>Módulo6[[#This Row],[Percentual]]*D148</f>
        <v>#REF!</v>
      </c>
    </row>
    <row r="135" spans="1:4">
      <c r="A135" s="99" t="s">
        <v>171</v>
      </c>
      <c r="B135" t="s">
        <v>64</v>
      </c>
      <c r="C135" s="110">
        <f>G20</f>
        <v>0.05</v>
      </c>
      <c r="D135" s="105" t="e">
        <f>Módulo6[[#This Row],[Percentual]]*D148</f>
        <v>#REF!</v>
      </c>
    </row>
    <row r="136" spans="1:4">
      <c r="A136" s="99" t="s">
        <v>58</v>
      </c>
      <c r="C136" s="153"/>
      <c r="D136" s="105" t="e">
        <f>SUM(D130:D132)</f>
        <v>#REF!</v>
      </c>
    </row>
    <row r="137" spans="1:4">
      <c r="A137" s="99"/>
      <c r="C137" s="153"/>
      <c r="D137" s="105"/>
    </row>
    <row r="139" spans="1:4">
      <c r="A139" s="77" t="s">
        <v>172</v>
      </c>
      <c r="B139" s="77"/>
      <c r="C139" s="77"/>
      <c r="D139" s="77"/>
    </row>
    <row r="140" spans="1:4">
      <c r="A140" s="99" t="s">
        <v>16</v>
      </c>
      <c r="B140" s="99" t="s">
        <v>173</v>
      </c>
      <c r="C140" s="99" t="s">
        <v>102</v>
      </c>
      <c r="D140" s="99" t="s">
        <v>19</v>
      </c>
    </row>
    <row r="141" spans="1:4">
      <c r="A141" s="99" t="s">
        <v>42</v>
      </c>
      <c r="B141" t="s">
        <v>36</v>
      </c>
      <c r="D141" s="105">
        <f>Módulo1[[#Totals],[Valor]]</f>
        <v>998</v>
      </c>
    </row>
    <row r="142" spans="1:4">
      <c r="A142" s="99" t="s">
        <v>45</v>
      </c>
      <c r="B142" t="s">
        <v>61</v>
      </c>
      <c r="D142" s="105">
        <f>ResumoMódulo2[[#Totals],[Valor]]</f>
        <v>843.932</v>
      </c>
    </row>
    <row r="143" spans="1:4">
      <c r="A143" s="99" t="s">
        <v>48</v>
      </c>
      <c r="B143" t="s">
        <v>108</v>
      </c>
      <c r="D143" s="105">
        <f>Módulo3[[#Totals],[Valor]]</f>
        <v>157.862265311111</v>
      </c>
    </row>
    <row r="144" spans="1:4">
      <c r="A144" s="99" t="s">
        <v>50</v>
      </c>
      <c r="B144" t="s">
        <v>174</v>
      </c>
      <c r="D144" s="105">
        <f>ResumoMódulo4[[#Totals],[Valor]]</f>
        <v>162.187758903987</v>
      </c>
    </row>
    <row r="145" spans="1:4">
      <c r="A145" s="99" t="s">
        <v>53</v>
      </c>
      <c r="B145" t="s">
        <v>152</v>
      </c>
      <c r="D145" s="105" t="e">
        <f>Módulo5[[#Totals],[Valor]]</f>
        <v>#REF!</v>
      </c>
    </row>
    <row r="146" spans="1:4">
      <c r="A146" t="s">
        <v>175</v>
      </c>
      <c r="D146" s="105" t="e">
        <f>SUM(D141:D145)</f>
        <v>#REF!</v>
      </c>
    </row>
    <row r="147" spans="1:4">
      <c r="A147" s="99" t="s">
        <v>55</v>
      </c>
      <c r="B147" t="s">
        <v>164</v>
      </c>
      <c r="D147" s="105" t="e">
        <f>Módulo6[[#Totals],[Valor]]</f>
        <v>#REF!</v>
      </c>
    </row>
    <row r="148" spans="1:4">
      <c r="A148" s="157" t="s">
        <v>176</v>
      </c>
      <c r="B148" s="157"/>
      <c r="C148" s="157"/>
      <c r="D148" s="196" t="e">
        <f>(SUM(D141:D145)+D130+D131)/(100%-C132)</f>
        <v>#REF!</v>
      </c>
    </row>
  </sheetData>
  <mergeCells count="24">
    <mergeCell ref="A1:D1"/>
    <mergeCell ref="F1:G1"/>
    <mergeCell ref="F8:G8"/>
    <mergeCell ref="A9:D9"/>
    <mergeCell ref="F14:G14"/>
    <mergeCell ref="A19:D19"/>
    <mergeCell ref="A20:D20"/>
    <mergeCell ref="A26:D26"/>
    <mergeCell ref="A31:D31"/>
    <mergeCell ref="A43:D43"/>
    <mergeCell ref="A47:D47"/>
    <mergeCell ref="A55:D55"/>
    <mergeCell ref="A60:D60"/>
    <mergeCell ref="A67:D67"/>
    <mergeCell ref="A77:D77"/>
    <mergeCell ref="A86:D86"/>
    <mergeCell ref="A87:D87"/>
    <mergeCell ref="A97:D97"/>
    <mergeCell ref="A102:D102"/>
    <mergeCell ref="A107:D107"/>
    <mergeCell ref="A113:D113"/>
    <mergeCell ref="A121:D121"/>
    <mergeCell ref="A128:D128"/>
    <mergeCell ref="A139:D139"/>
  </mergeCells>
  <pageMargins left="0.7" right="0.7" top="0.75" bottom="0.75" header="0.511805555555555" footer="0.511805555555555"/>
  <pageSetup paperSize="9" scale="43" firstPageNumber="0" fitToHeight="0" orientation="portrait" useFirstPageNumber="1" horizontalDpi="300" verticalDpi="300"/>
  <headerFooter/>
  <legacyDrawing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6" workbookViewId="0">
      <selection activeCell="B28" sqref="B28"/>
    </sheetView>
  </sheetViews>
  <sheetFormatPr defaultColWidth="9.13888888888889" defaultRowHeight="14.4"/>
  <cols>
    <col min="1" max="1" width="12" style="165" customWidth="1"/>
    <col min="2" max="2" width="56.1944444444444" customWidth="1"/>
    <col min="3" max="3" width="32.2222222222222" customWidth="1"/>
    <col min="4" max="4" width="41" customWidth="1"/>
    <col min="6" max="6" width="22.8611111111111" customWidth="1"/>
    <col min="7" max="7" width="15.5555555555556" customWidth="1"/>
    <col min="9" max="9" width="11.4259259259259"/>
  </cols>
  <sheetData>
    <row r="2" ht="18.75" spans="1:4">
      <c r="A2" s="67" t="s">
        <v>177</v>
      </c>
      <c r="B2" s="68"/>
      <c r="C2" s="68"/>
      <c r="D2" s="68"/>
    </row>
    <row r="3" ht="15.15" spans="1:4">
      <c r="A3" s="166" t="s">
        <v>178</v>
      </c>
      <c r="B3" s="167"/>
      <c r="C3" s="167"/>
      <c r="D3" s="167"/>
    </row>
    <row r="4" spans="1:4">
      <c r="A4" s="168" t="s">
        <v>179</v>
      </c>
      <c r="B4" s="72" t="s">
        <v>180</v>
      </c>
      <c r="C4" s="73"/>
      <c r="D4" s="73"/>
    </row>
    <row r="5" spans="1:4">
      <c r="A5" s="169"/>
      <c r="B5" s="75"/>
      <c r="C5" s="75"/>
      <c r="D5" s="75"/>
    </row>
    <row r="6" ht="15.15" spans="1:4">
      <c r="A6" s="76" t="s">
        <v>181</v>
      </c>
      <c r="B6" s="77"/>
      <c r="C6" s="77"/>
      <c r="D6" s="77"/>
    </row>
    <row r="7" ht="15.15" spans="1:4">
      <c r="A7" s="78" t="s">
        <v>42</v>
      </c>
      <c r="B7" s="79" t="s">
        <v>182</v>
      </c>
      <c r="C7" s="80" t="s">
        <v>183</v>
      </c>
      <c r="D7" s="80"/>
    </row>
    <row r="8" spans="1:4">
      <c r="A8" s="81" t="s">
        <v>45</v>
      </c>
      <c r="B8" s="82" t="s">
        <v>184</v>
      </c>
      <c r="C8" s="83" t="s">
        <v>185</v>
      </c>
      <c r="D8" s="83"/>
    </row>
    <row r="9" spans="1:4">
      <c r="A9" s="84" t="s">
        <v>48</v>
      </c>
      <c r="B9" s="85" t="s">
        <v>186</v>
      </c>
      <c r="C9" s="83" t="s">
        <v>187</v>
      </c>
      <c r="D9" s="83"/>
    </row>
    <row r="10" spans="1:4">
      <c r="A10" s="81" t="s">
        <v>53</v>
      </c>
      <c r="B10" s="82" t="s">
        <v>188</v>
      </c>
      <c r="C10" s="83" t="s">
        <v>189</v>
      </c>
      <c r="D10" s="83"/>
    </row>
    <row r="11" ht="15.15" spans="1:4">
      <c r="A11" s="86" t="s">
        <v>190</v>
      </c>
      <c r="B11" s="87"/>
      <c r="C11" s="87"/>
      <c r="D11" s="87"/>
    </row>
    <row r="12" ht="15.9" spans="1:4">
      <c r="A12" s="88" t="s">
        <v>191</v>
      </c>
      <c r="B12" s="89"/>
      <c r="C12" s="87" t="s">
        <v>192</v>
      </c>
      <c r="D12" s="90" t="s">
        <v>193</v>
      </c>
    </row>
    <row r="13" ht="15.15" spans="1:4">
      <c r="A13" s="91" t="s">
        <v>194</v>
      </c>
      <c r="B13" s="92"/>
      <c r="C13" s="83" t="s">
        <v>195</v>
      </c>
      <c r="D13" s="93">
        <f>RESUMO!D3</f>
        <v>1</v>
      </c>
    </row>
    <row r="14" spans="1:4">
      <c r="A14" s="94"/>
      <c r="B14" s="95"/>
      <c r="C14" s="83"/>
      <c r="D14" s="96"/>
    </row>
    <row r="15" ht="15.15" spans="1:7">
      <c r="A15" s="86" t="s">
        <v>14</v>
      </c>
      <c r="B15" s="87"/>
      <c r="C15" s="87"/>
      <c r="D15" s="87"/>
      <c r="F15" s="97"/>
      <c r="G15" s="97"/>
    </row>
    <row r="16" ht="15.15" spans="1:4">
      <c r="A16" s="98" t="s">
        <v>16</v>
      </c>
      <c r="B16" t="s">
        <v>17</v>
      </c>
      <c r="C16" s="99" t="s">
        <v>18</v>
      </c>
      <c r="D16" s="99" t="s">
        <v>19</v>
      </c>
    </row>
    <row r="17" spans="1:4">
      <c r="A17" s="98">
        <v>1</v>
      </c>
      <c r="B17" t="s">
        <v>20</v>
      </c>
      <c r="C17" s="100" t="s">
        <v>102</v>
      </c>
      <c r="D17" s="100" t="str">
        <f>A13</f>
        <v>Pedreiro</v>
      </c>
    </row>
    <row r="18" spans="1:4">
      <c r="A18" s="98">
        <v>2</v>
      </c>
      <c r="B18" t="s">
        <v>23</v>
      </c>
      <c r="C18" s="100" t="s">
        <v>196</v>
      </c>
      <c r="D18" s="100" t="s">
        <v>197</v>
      </c>
    </row>
    <row r="19" spans="1:4">
      <c r="A19" s="98">
        <v>3</v>
      </c>
      <c r="B19" t="s">
        <v>26</v>
      </c>
      <c r="C19" s="100" t="str">
        <f>C9</f>
        <v>CCT PB000517/2021</v>
      </c>
      <c r="D19" s="101">
        <v>1619.68</v>
      </c>
    </row>
    <row r="20" spans="1:4">
      <c r="A20" s="98">
        <v>4</v>
      </c>
      <c r="B20" t="s">
        <v>29</v>
      </c>
      <c r="C20" s="100" t="str">
        <f>C9</f>
        <v>CCT PB000517/2021</v>
      </c>
      <c r="D20" s="102" t="s">
        <v>198</v>
      </c>
    </row>
    <row r="21" spans="1:4">
      <c r="A21" s="98">
        <v>5</v>
      </c>
      <c r="B21" t="s">
        <v>33</v>
      </c>
      <c r="C21" s="100" t="str">
        <f>C9</f>
        <v>CCT PB000517/2021</v>
      </c>
      <c r="D21" s="103" t="s">
        <v>199</v>
      </c>
    </row>
    <row r="22" spans="6:7">
      <c r="F22" s="97"/>
      <c r="G22" s="97"/>
    </row>
    <row r="23" spans="1:4">
      <c r="A23" s="76" t="s">
        <v>36</v>
      </c>
      <c r="B23" s="77"/>
      <c r="C23" s="77"/>
      <c r="D23" s="77"/>
    </row>
    <row r="24" spans="1:7">
      <c r="A24" s="98" t="s">
        <v>39</v>
      </c>
      <c r="B24" s="22" t="s">
        <v>40</v>
      </c>
      <c r="C24" s="99" t="s">
        <v>18</v>
      </c>
      <c r="D24" s="99" t="s">
        <v>19</v>
      </c>
      <c r="G24" s="104"/>
    </row>
    <row r="25" spans="1:7">
      <c r="A25" s="98" t="s">
        <v>42</v>
      </c>
      <c r="B25" t="s">
        <v>43</v>
      </c>
      <c r="C25" s="102" t="s">
        <v>200</v>
      </c>
      <c r="D25" s="101">
        <f>D19</f>
        <v>1619.68</v>
      </c>
      <c r="G25" s="104"/>
    </row>
    <row r="26" spans="1:7">
      <c r="A26" s="98" t="s">
        <v>45</v>
      </c>
      <c r="B26" t="s">
        <v>201</v>
      </c>
      <c r="C26" s="102"/>
      <c r="D26" s="101">
        <v>0</v>
      </c>
      <c r="G26" s="104"/>
    </row>
    <row r="27" spans="1:4">
      <c r="A27" s="98" t="s">
        <v>48</v>
      </c>
      <c r="B27" t="s">
        <v>202</v>
      </c>
      <c r="C27" s="102"/>
      <c r="D27" s="101">
        <v>0</v>
      </c>
    </row>
    <row r="28" spans="1:4">
      <c r="A28" s="98" t="s">
        <v>50</v>
      </c>
      <c r="B28" t="s">
        <v>51</v>
      </c>
      <c r="C28" s="102"/>
      <c r="D28" s="101">
        <v>0</v>
      </c>
    </row>
    <row r="29" spans="1:4">
      <c r="A29" s="98" t="s">
        <v>53</v>
      </c>
      <c r="B29" t="s">
        <v>54</v>
      </c>
      <c r="C29" s="102"/>
      <c r="D29" s="101">
        <v>0</v>
      </c>
    </row>
    <row r="30" spans="1:4">
      <c r="A30" s="98" t="s">
        <v>55</v>
      </c>
      <c r="B30" t="s">
        <v>56</v>
      </c>
      <c r="C30" s="102"/>
      <c r="D30" s="101">
        <v>0</v>
      </c>
    </row>
    <row r="31" spans="1:7">
      <c r="A31" s="98" t="s">
        <v>58</v>
      </c>
      <c r="C31" s="99"/>
      <c r="D31" s="105">
        <f>TRUNC((SUM(D25:D30)),2)</f>
        <v>1619.68</v>
      </c>
      <c r="F31" s="97"/>
      <c r="G31" s="97"/>
    </row>
    <row r="32" spans="2:2">
      <c r="B32" s="106" t="s">
        <v>203</v>
      </c>
    </row>
    <row r="33" spans="1:7">
      <c r="A33" s="107" t="s">
        <v>61</v>
      </c>
      <c r="B33" s="108"/>
      <c r="C33" s="108"/>
      <c r="D33" s="108"/>
      <c r="G33" s="104"/>
    </row>
    <row r="35" spans="1:4">
      <c r="A35" s="109" t="s">
        <v>63</v>
      </c>
      <c r="B35" s="97"/>
      <c r="C35" s="97"/>
      <c r="D35" s="97"/>
    </row>
    <row r="36" spans="1:4">
      <c r="A36" s="98" t="s">
        <v>65</v>
      </c>
      <c r="B36" s="22" t="s">
        <v>66</v>
      </c>
      <c r="C36" s="99" t="s">
        <v>38</v>
      </c>
      <c r="D36" s="99" t="s">
        <v>19</v>
      </c>
    </row>
    <row r="37" spans="1:7">
      <c r="A37" s="98" t="s">
        <v>42</v>
      </c>
      <c r="B37" t="s">
        <v>67</v>
      </c>
      <c r="C37" s="110">
        <f>(1/12)</f>
        <v>0.0833333333333333</v>
      </c>
      <c r="D37" s="105">
        <f>TRUNC($D$31*C37,2)</f>
        <v>134.97</v>
      </c>
      <c r="F37" s="111"/>
      <c r="G37" s="111"/>
    </row>
    <row r="38" spans="1:7">
      <c r="A38" s="98" t="s">
        <v>45</v>
      </c>
      <c r="B38" t="s">
        <v>68</v>
      </c>
      <c r="C38" s="110">
        <f>(((1+1/3)/12))</f>
        <v>0.111111111111111</v>
      </c>
      <c r="D38" s="105">
        <f>TRUNC($D$31*C38,2)</f>
        <v>179.96</v>
      </c>
      <c r="F38" s="111"/>
      <c r="G38" s="111"/>
    </row>
    <row r="39" spans="1:7">
      <c r="A39" s="98" t="s">
        <v>58</v>
      </c>
      <c r="D39" s="105">
        <f>TRUNC((SUM(D37:D38)),2)</f>
        <v>314.93</v>
      </c>
      <c r="F39" s="111"/>
      <c r="G39" s="111"/>
    </row>
    <row r="40" ht="15.15" spans="4:7">
      <c r="D40" s="105"/>
      <c r="F40" s="111"/>
      <c r="G40" s="111"/>
    </row>
    <row r="41" ht="15.9" spans="1:7">
      <c r="A41" s="107" t="s">
        <v>204</v>
      </c>
      <c r="B41" s="107"/>
      <c r="C41" s="112" t="s">
        <v>205</v>
      </c>
      <c r="D41" s="113">
        <f>D31</f>
        <v>1619.68</v>
      </c>
      <c r="F41" s="111"/>
      <c r="G41" s="111"/>
    </row>
    <row r="42" ht="15.9" spans="1:7">
      <c r="A42" s="107"/>
      <c r="B42" s="107"/>
      <c r="C42" s="114" t="s">
        <v>206</v>
      </c>
      <c r="D42" s="113">
        <f>D39</f>
        <v>314.93</v>
      </c>
      <c r="F42" s="111"/>
      <c r="G42" s="111"/>
    </row>
    <row r="43" ht="15.9" spans="1:7">
      <c r="A43" s="107"/>
      <c r="B43" s="107"/>
      <c r="C43" s="112" t="s">
        <v>207</v>
      </c>
      <c r="D43" s="115">
        <f>TRUNC((SUM(D41:D42)),2)</f>
        <v>1934.61</v>
      </c>
      <c r="F43" s="111"/>
      <c r="G43" s="111"/>
    </row>
    <row r="44" ht="15.15" spans="1:7">
      <c r="A44" s="98"/>
      <c r="C44" s="116"/>
      <c r="D44" s="105"/>
      <c r="F44" s="111"/>
      <c r="G44" s="111"/>
    </row>
    <row r="45" spans="1:4">
      <c r="A45" s="109" t="s">
        <v>77</v>
      </c>
      <c r="B45" s="97"/>
      <c r="C45" s="97"/>
      <c r="D45" s="97"/>
    </row>
    <row r="46" spans="1:4">
      <c r="A46" s="98" t="s">
        <v>78</v>
      </c>
      <c r="B46" s="22" t="s">
        <v>79</v>
      </c>
      <c r="C46" s="99" t="s">
        <v>38</v>
      </c>
      <c r="D46" s="99" t="s">
        <v>80</v>
      </c>
    </row>
    <row r="47" spans="1:4">
      <c r="A47" s="98" t="s">
        <v>42</v>
      </c>
      <c r="B47" t="s">
        <v>81</v>
      </c>
      <c r="C47" s="110">
        <v>0.2</v>
      </c>
      <c r="D47" s="105">
        <f>TRUNC(($D$43*C47),2)</f>
        <v>386.92</v>
      </c>
    </row>
    <row r="48" spans="1:4">
      <c r="A48" s="98" t="s">
        <v>45</v>
      </c>
      <c r="B48" t="s">
        <v>82</v>
      </c>
      <c r="C48" s="110">
        <v>0.025</v>
      </c>
      <c r="D48" s="105">
        <f t="shared" ref="D47:D54" si="0">TRUNC(($D$43*C48),2)</f>
        <v>48.36</v>
      </c>
    </row>
    <row r="49" spans="1:4">
      <c r="A49" s="98" t="s">
        <v>48</v>
      </c>
      <c r="B49" t="s">
        <v>208</v>
      </c>
      <c r="C49" s="117">
        <v>0.06</v>
      </c>
      <c r="D49" s="101">
        <f t="shared" si="0"/>
        <v>116.07</v>
      </c>
    </row>
    <row r="50" spans="1:4">
      <c r="A50" s="98" t="s">
        <v>50</v>
      </c>
      <c r="B50" t="s">
        <v>84</v>
      </c>
      <c r="C50" s="110">
        <v>0.015</v>
      </c>
      <c r="D50" s="105">
        <f t="shared" si="0"/>
        <v>29.01</v>
      </c>
    </row>
    <row r="51" spans="1:4">
      <c r="A51" s="98" t="s">
        <v>53</v>
      </c>
      <c r="B51" t="s">
        <v>85</v>
      </c>
      <c r="C51" s="110">
        <v>0.01</v>
      </c>
      <c r="D51" s="105">
        <f t="shared" si="0"/>
        <v>19.34</v>
      </c>
    </row>
    <row r="52" spans="1:4">
      <c r="A52" s="98" t="s">
        <v>55</v>
      </c>
      <c r="B52" t="s">
        <v>86</v>
      </c>
      <c r="C52" s="110">
        <v>0.006</v>
      </c>
      <c r="D52" s="105">
        <f t="shared" si="0"/>
        <v>11.6</v>
      </c>
    </row>
    <row r="53" spans="1:4">
      <c r="A53" s="98" t="s">
        <v>87</v>
      </c>
      <c r="B53" t="s">
        <v>88</v>
      </c>
      <c r="C53" s="110">
        <v>0.002</v>
      </c>
      <c r="D53" s="105">
        <f t="shared" si="0"/>
        <v>3.86</v>
      </c>
    </row>
    <row r="54" spans="1:4">
      <c r="A54" s="98" t="s">
        <v>89</v>
      </c>
      <c r="B54" t="s">
        <v>90</v>
      </c>
      <c r="C54" s="110">
        <v>0.08</v>
      </c>
      <c r="D54" s="105">
        <f t="shared" si="0"/>
        <v>154.76</v>
      </c>
    </row>
    <row r="55" spans="1:4">
      <c r="A55" s="98" t="s">
        <v>58</v>
      </c>
      <c r="C55" s="116">
        <f>SUM(C47:C54)</f>
        <v>0.398</v>
      </c>
      <c r="D55" s="105">
        <f>TRUNC(SUM(D47:D54),2)</f>
        <v>769.92</v>
      </c>
    </row>
    <row r="56" spans="1:4">
      <c r="A56" s="98"/>
      <c r="C56" s="116"/>
      <c r="D56" s="105"/>
    </row>
    <row r="57" spans="1:4">
      <c r="A57" s="109" t="s">
        <v>95</v>
      </c>
      <c r="B57" s="97"/>
      <c r="C57" s="97"/>
      <c r="D57" s="97"/>
    </row>
    <row r="58" spans="1:4">
      <c r="A58" s="98" t="s">
        <v>96</v>
      </c>
      <c r="B58" s="22" t="s">
        <v>97</v>
      </c>
      <c r="C58" s="99" t="s">
        <v>18</v>
      </c>
      <c r="D58" s="99" t="s">
        <v>19</v>
      </c>
    </row>
    <row r="59" spans="1:4">
      <c r="A59" s="98" t="s">
        <v>42</v>
      </c>
      <c r="B59" t="s">
        <v>98</v>
      </c>
      <c r="C59" s="100"/>
      <c r="D59" s="118">
        <v>0</v>
      </c>
    </row>
    <row r="60" spans="1:4">
      <c r="A60" s="98" t="s">
        <v>45</v>
      </c>
      <c r="B60" t="s">
        <v>99</v>
      </c>
      <c r="C60" s="100" t="str">
        <f>C9</f>
        <v>CCT PB000517/2021</v>
      </c>
      <c r="D60" s="101">
        <f>TRUNC((((22*20.91))-(((22*20.91))*0.2)),2)</f>
        <v>368.01</v>
      </c>
    </row>
    <row r="61" spans="1:4">
      <c r="A61" s="98" t="s">
        <v>48</v>
      </c>
      <c r="B61" t="s">
        <v>100</v>
      </c>
      <c r="C61" s="100"/>
      <c r="D61" s="101">
        <v>0</v>
      </c>
    </row>
    <row r="62" spans="1:6">
      <c r="A62" s="98" t="s">
        <v>50</v>
      </c>
      <c r="B62" s="119" t="s">
        <v>209</v>
      </c>
      <c r="C62" s="120"/>
      <c r="D62" s="120">
        <v>0</v>
      </c>
      <c r="F62" s="119"/>
    </row>
    <row r="63" spans="1:4">
      <c r="A63" s="98" t="s">
        <v>53</v>
      </c>
      <c r="B63" s="22" t="s">
        <v>210</v>
      </c>
      <c r="C63" s="100" t="str">
        <f>C60</f>
        <v>CCT PB000517/2021</v>
      </c>
      <c r="D63" s="101">
        <v>20</v>
      </c>
    </row>
    <row r="64" spans="1:4">
      <c r="A64" s="98" t="s">
        <v>55</v>
      </c>
      <c r="B64" s="121" t="s">
        <v>211</v>
      </c>
      <c r="C64" s="100" t="str">
        <f>C9</f>
        <v>CCT PB000517/2021</v>
      </c>
      <c r="D64" s="101">
        <v>5</v>
      </c>
    </row>
    <row r="65" spans="1:4">
      <c r="A65" s="98" t="s">
        <v>87</v>
      </c>
      <c r="B65" s="121" t="s">
        <v>212</v>
      </c>
      <c r="C65" s="120" t="str">
        <f>C60</f>
        <v>CCT PB000517/2021</v>
      </c>
      <c r="D65" s="101">
        <v>40</v>
      </c>
    </row>
    <row r="66" spans="1:4">
      <c r="A66" s="98" t="s">
        <v>58</v>
      </c>
      <c r="D66" s="105">
        <f>TRUNC((SUM(D59:D65)),2)</f>
        <v>433.01</v>
      </c>
    </row>
    <row r="67" spans="1:4">
      <c r="A67" s="98"/>
      <c r="D67" s="105"/>
    </row>
    <row r="68" spans="1:4">
      <c r="A68" s="109" t="s">
        <v>105</v>
      </c>
      <c r="B68" s="97"/>
      <c r="C68" s="97"/>
      <c r="D68" s="97"/>
    </row>
    <row r="69" spans="1:4">
      <c r="A69" s="98" t="s">
        <v>106</v>
      </c>
      <c r="B69" s="22" t="s">
        <v>107</v>
      </c>
      <c r="C69" s="99" t="s">
        <v>18</v>
      </c>
      <c r="D69" s="99" t="s">
        <v>19</v>
      </c>
    </row>
    <row r="70" spans="1:4">
      <c r="A70" s="98" t="s">
        <v>65</v>
      </c>
      <c r="B70" t="s">
        <v>66</v>
      </c>
      <c r="C70" s="99"/>
      <c r="D70" s="105">
        <f>D39</f>
        <v>314.93</v>
      </c>
    </row>
    <row r="71" spans="1:4">
      <c r="A71" s="98" t="s">
        <v>78</v>
      </c>
      <c r="B71" t="s">
        <v>79</v>
      </c>
      <c r="C71" s="99"/>
      <c r="D71" s="105">
        <f>D55</f>
        <v>769.92</v>
      </c>
    </row>
    <row r="72" spans="1:4">
      <c r="A72" s="98" t="s">
        <v>96</v>
      </c>
      <c r="B72" t="s">
        <v>97</v>
      </c>
      <c r="C72" s="99"/>
      <c r="D72" s="105">
        <f>D66</f>
        <v>433.01</v>
      </c>
    </row>
    <row r="73" spans="1:4">
      <c r="A73" s="98" t="s">
        <v>58</v>
      </c>
      <c r="C73" s="99"/>
      <c r="D73" s="105">
        <f>TRUNC((SUM(D70:D72)),2)</f>
        <v>1517.86</v>
      </c>
    </row>
    <row r="75" spans="1:4">
      <c r="A75" s="76" t="s">
        <v>108</v>
      </c>
      <c r="B75" s="77"/>
      <c r="C75" s="77"/>
      <c r="D75" s="77"/>
    </row>
    <row r="76" spans="1:4">
      <c r="A76" s="98" t="s">
        <v>109</v>
      </c>
      <c r="B76" s="22" t="s">
        <v>110</v>
      </c>
      <c r="C76" s="99" t="s">
        <v>38</v>
      </c>
      <c r="D76" s="99" t="s">
        <v>19</v>
      </c>
    </row>
    <row r="77" spans="1:4">
      <c r="A77" s="98" t="s">
        <v>42</v>
      </c>
      <c r="B77" s="176" t="s">
        <v>111</v>
      </c>
      <c r="C77" s="117">
        <f>((1/12)*2%)</f>
        <v>0.00166666666666667</v>
      </c>
      <c r="D77" s="101">
        <f>TRUNC(($D$31*C77),2)</f>
        <v>2.69</v>
      </c>
    </row>
    <row r="78" spans="1:4">
      <c r="A78" s="98" t="s">
        <v>45</v>
      </c>
      <c r="B78" s="176" t="s">
        <v>112</v>
      </c>
      <c r="C78" s="122">
        <v>0.08</v>
      </c>
      <c r="D78" s="105">
        <f>TRUNC(($D$77*C78),2)</f>
        <v>0.21</v>
      </c>
    </row>
    <row r="79" spans="1:4">
      <c r="A79" s="98" t="s">
        <v>48</v>
      </c>
      <c r="B79" s="177" t="s">
        <v>113</v>
      </c>
      <c r="C79" s="124">
        <f>(0.08*0.4*0.02)</f>
        <v>0.00064</v>
      </c>
      <c r="D79" s="120">
        <f>TRUNC(($D$31*C79),2)</f>
        <v>1.03</v>
      </c>
    </row>
    <row r="80" spans="1:4">
      <c r="A80" s="98" t="s">
        <v>50</v>
      </c>
      <c r="B80" s="176" t="s">
        <v>114</v>
      </c>
      <c r="C80" s="122">
        <f>(((7/30)/12)*0.98)</f>
        <v>0.0190555555555556</v>
      </c>
      <c r="D80" s="105">
        <f>TRUNC(($D$31*C80),2)</f>
        <v>30.86</v>
      </c>
    </row>
    <row r="81" ht="28.8" spans="1:4">
      <c r="A81" s="98" t="s">
        <v>53</v>
      </c>
      <c r="B81" s="177" t="s">
        <v>213</v>
      </c>
      <c r="C81" s="124">
        <f>C55</f>
        <v>0.398</v>
      </c>
      <c r="D81" s="120">
        <f>TRUNC(($D$80*C81),2)</f>
        <v>12.28</v>
      </c>
    </row>
    <row r="82" ht="28.8" spans="1:4">
      <c r="A82" s="98" t="s">
        <v>55</v>
      </c>
      <c r="B82" s="177" t="s">
        <v>115</v>
      </c>
      <c r="C82" s="124">
        <f>(0.08*0.4*0.98)</f>
        <v>0.03136</v>
      </c>
      <c r="D82" s="120">
        <f>TRUNC(($D$31*C82),2)</f>
        <v>50.79</v>
      </c>
    </row>
    <row r="83" spans="1:4">
      <c r="A83" s="98" t="s">
        <v>58</v>
      </c>
      <c r="C83" s="122">
        <f>SUM(C77:C82)</f>
        <v>0.530722222222222</v>
      </c>
      <c r="D83" s="105">
        <f>TRUNC((SUM(D77:D82)),2)</f>
        <v>97.86</v>
      </c>
    </row>
    <row r="84" ht="15.15" spans="1:4">
      <c r="A84" s="98"/>
      <c r="D84" s="105"/>
    </row>
    <row r="85" ht="15.9" spans="1:4">
      <c r="A85" s="107" t="s">
        <v>214</v>
      </c>
      <c r="B85" s="107"/>
      <c r="C85" s="112" t="s">
        <v>205</v>
      </c>
      <c r="D85" s="113">
        <f>D31</f>
        <v>1619.68</v>
      </c>
    </row>
    <row r="86" ht="15.9" spans="1:4">
      <c r="A86" s="107"/>
      <c r="B86" s="107"/>
      <c r="C86" s="114" t="s">
        <v>215</v>
      </c>
      <c r="D86" s="113">
        <f>D73</f>
        <v>1517.86</v>
      </c>
    </row>
    <row r="87" ht="15.9" spans="1:4">
      <c r="A87" s="107"/>
      <c r="B87" s="107"/>
      <c r="C87" s="112" t="s">
        <v>216</v>
      </c>
      <c r="D87" s="113">
        <f>D83</f>
        <v>97.86</v>
      </c>
    </row>
    <row r="88" ht="15.9" spans="1:4">
      <c r="A88" s="107"/>
      <c r="B88" s="107"/>
      <c r="C88" s="114" t="s">
        <v>207</v>
      </c>
      <c r="D88" s="115">
        <f>TRUNC((SUM(D85:D87)),2)</f>
        <v>3235.4</v>
      </c>
    </row>
    <row r="89" ht="15.15" spans="1:4">
      <c r="A89" s="98"/>
      <c r="D89" s="105"/>
    </row>
    <row r="90" spans="1:4">
      <c r="A90" s="125" t="s">
        <v>127</v>
      </c>
      <c r="B90" s="126"/>
      <c r="C90" s="126"/>
      <c r="D90" s="126"/>
    </row>
    <row r="91" spans="1:4">
      <c r="A91" s="109" t="s">
        <v>128</v>
      </c>
      <c r="B91" s="97"/>
      <c r="C91" s="97"/>
      <c r="D91" s="97"/>
    </row>
    <row r="92" spans="1:4">
      <c r="A92" s="98" t="s">
        <v>129</v>
      </c>
      <c r="B92" s="22" t="s">
        <v>130</v>
      </c>
      <c r="C92" s="99" t="s">
        <v>38</v>
      </c>
      <c r="D92" s="99" t="s">
        <v>19</v>
      </c>
    </row>
    <row r="93" spans="1:4">
      <c r="A93" s="98" t="s">
        <v>42</v>
      </c>
      <c r="B93" s="176" t="s">
        <v>132</v>
      </c>
      <c r="C93" s="178">
        <f>(((1+1/3)/12)/12)+((1/12)/12)</f>
        <v>0.0162037037037037</v>
      </c>
      <c r="D93" s="148">
        <f t="shared" ref="D93:D97" si="1">TRUNC(($D$88*C93),2)</f>
        <v>52.42</v>
      </c>
    </row>
    <row r="94" spans="1:4">
      <c r="A94" s="98" t="s">
        <v>45</v>
      </c>
      <c r="B94" s="176" t="s">
        <v>133</v>
      </c>
      <c r="C94" s="179">
        <f>((5/30)/12)</f>
        <v>0.0138888888888889</v>
      </c>
      <c r="D94" s="180">
        <f t="shared" si="1"/>
        <v>44.93</v>
      </c>
    </row>
    <row r="95" spans="1:4">
      <c r="A95" s="98" t="s">
        <v>48</v>
      </c>
      <c r="B95" s="176" t="s">
        <v>134</v>
      </c>
      <c r="C95" s="179">
        <f>((5/30)/12)*0.02</f>
        <v>0.000277777777777778</v>
      </c>
      <c r="D95" s="180">
        <f t="shared" si="1"/>
        <v>0.89</v>
      </c>
    </row>
    <row r="96" spans="1:4">
      <c r="A96" s="98" t="s">
        <v>50</v>
      </c>
      <c r="B96" s="177" t="s">
        <v>135</v>
      </c>
      <c r="C96" s="181">
        <f>((15/30)/12)*0.08</f>
        <v>0.00333333333333333</v>
      </c>
      <c r="D96" s="180">
        <f t="shared" si="1"/>
        <v>10.78</v>
      </c>
    </row>
    <row r="97" spans="1:4">
      <c r="A97" s="98" t="s">
        <v>53</v>
      </c>
      <c r="B97" s="176" t="s">
        <v>136</v>
      </c>
      <c r="C97" s="179">
        <f>((1+1/3)/12)*0.00001*((4/12))</f>
        <v>3.7037037037037e-7</v>
      </c>
      <c r="D97" s="180">
        <f t="shared" si="1"/>
        <v>0</v>
      </c>
    </row>
    <row r="98" spans="1:4">
      <c r="A98" s="98" t="s">
        <v>55</v>
      </c>
      <c r="B98" s="177" t="s">
        <v>217</v>
      </c>
      <c r="C98" s="182">
        <v>0</v>
      </c>
      <c r="D98" s="180">
        <f>TRUNC($D$88*C98)</f>
        <v>0</v>
      </c>
    </row>
    <row r="99" spans="1:4">
      <c r="A99" s="98" t="s">
        <v>58</v>
      </c>
      <c r="B99" s="176"/>
      <c r="C99" s="178">
        <f>SUBTOTAL(109,Submódulo4.159_54110[Percentual])</f>
        <v>0.0337040740740741</v>
      </c>
      <c r="D99" s="148">
        <f>TRUNC((SUM(D93:D98)),2)</f>
        <v>109.02</v>
      </c>
    </row>
    <row r="100" spans="1:4">
      <c r="A100" s="98"/>
      <c r="C100" s="99"/>
      <c r="D100" s="105"/>
    </row>
    <row r="101" spans="1:4">
      <c r="A101" s="109" t="s">
        <v>144</v>
      </c>
      <c r="B101" s="97"/>
      <c r="C101" s="97"/>
      <c r="D101" s="97"/>
    </row>
    <row r="102" spans="1:4">
      <c r="A102" s="98" t="s">
        <v>145</v>
      </c>
      <c r="B102" s="22" t="s">
        <v>146</v>
      </c>
      <c r="C102" s="99" t="s">
        <v>18</v>
      </c>
      <c r="D102" s="99" t="s">
        <v>19</v>
      </c>
    </row>
    <row r="103" ht="72" spans="1:4">
      <c r="A103" s="98" t="s">
        <v>42</v>
      </c>
      <c r="B103" s="128" t="s">
        <v>147</v>
      </c>
      <c r="C103" s="129" t="s">
        <v>218</v>
      </c>
      <c r="D103" s="130" t="s">
        <v>219</v>
      </c>
    </row>
    <row r="104" spans="1:4">
      <c r="A104" s="98" t="s">
        <v>58</v>
      </c>
      <c r="C104" s="131"/>
      <c r="D104" s="132" t="str">
        <f>D103</f>
        <v>*=TRUNCAR(($D$86/220)*(1*(365/12))/2)</v>
      </c>
    </row>
    <row r="106" spans="1:4">
      <c r="A106" s="109" t="s">
        <v>148</v>
      </c>
      <c r="B106" s="97"/>
      <c r="C106" s="97"/>
      <c r="D106" s="97"/>
    </row>
    <row r="107" spans="1:4">
      <c r="A107" s="98" t="s">
        <v>149</v>
      </c>
      <c r="B107" s="22" t="s">
        <v>150</v>
      </c>
      <c r="C107" s="99" t="s">
        <v>18</v>
      </c>
      <c r="D107" s="99" t="s">
        <v>19</v>
      </c>
    </row>
    <row r="108" spans="1:4">
      <c r="A108" s="98" t="s">
        <v>129</v>
      </c>
      <c r="B108" t="s">
        <v>130</v>
      </c>
      <c r="D108" s="101">
        <f>D99</f>
        <v>109.02</v>
      </c>
    </row>
    <row r="109" spans="1:4">
      <c r="A109" s="98" t="s">
        <v>145</v>
      </c>
      <c r="B109" t="s">
        <v>151</v>
      </c>
      <c r="C109" s="22"/>
      <c r="D109" s="133" t="str">
        <f>Submódulo4.260_55107[[#Totals],[Valor]]</f>
        <v>*=TRUNCAR(($D$86/220)*(1*(365/12))/2)</v>
      </c>
    </row>
    <row r="110" ht="43.2" spans="1:4">
      <c r="A110" s="98" t="s">
        <v>58</v>
      </c>
      <c r="B110" s="119"/>
      <c r="C110" s="129" t="s">
        <v>220</v>
      </c>
      <c r="D110" s="134">
        <f>TRUNC((SUM(D108:D109)),2)</f>
        <v>109.02</v>
      </c>
    </row>
    <row r="112" spans="1:4">
      <c r="A112" s="76" t="s">
        <v>152</v>
      </c>
      <c r="B112" s="77"/>
      <c r="C112" s="77"/>
      <c r="D112" s="77"/>
    </row>
    <row r="113" ht="37" customHeight="1" spans="1:9">
      <c r="A113" s="98" t="s">
        <v>153</v>
      </c>
      <c r="B113" s="119" t="s">
        <v>154</v>
      </c>
      <c r="C113" s="98" t="s">
        <v>18</v>
      </c>
      <c r="D113" s="98" t="s">
        <v>19</v>
      </c>
      <c r="F113" s="135" t="s">
        <v>221</v>
      </c>
      <c r="G113" s="136" t="s">
        <v>222</v>
      </c>
      <c r="H113" s="136" t="s">
        <v>223</v>
      </c>
      <c r="I113" s="136" t="s">
        <v>224</v>
      </c>
    </row>
    <row r="114" ht="15.9" spans="1:9">
      <c r="A114" s="98" t="s">
        <v>42</v>
      </c>
      <c r="B114" t="s">
        <v>225</v>
      </c>
      <c r="D114" s="137">
        <f>'Uniformes e EPI'!G20</f>
        <v>102.41</v>
      </c>
      <c r="F114" s="138" t="s">
        <v>226</v>
      </c>
      <c r="G114" s="139">
        <v>0</v>
      </c>
      <c r="H114" s="140">
        <v>70</v>
      </c>
      <c r="I114" s="140">
        <f>TRUNC(H114*G114,2)</f>
        <v>0</v>
      </c>
    </row>
    <row r="115" ht="15.9" spans="1:9">
      <c r="A115" s="98" t="s">
        <v>45</v>
      </c>
      <c r="B115" t="s">
        <v>227</v>
      </c>
      <c r="D115" s="137">
        <f>EPC!E21</f>
        <v>24.5</v>
      </c>
      <c r="F115" s="141" t="s">
        <v>228</v>
      </c>
      <c r="G115" s="142">
        <v>0</v>
      </c>
      <c r="H115" s="143">
        <v>35</v>
      </c>
      <c r="I115" s="140">
        <f>TRUNC(H115*G115,2)</f>
        <v>0</v>
      </c>
    </row>
    <row r="116" ht="15.15" spans="1:9">
      <c r="A116" s="98" t="s">
        <v>48</v>
      </c>
      <c r="B116" t="s">
        <v>156</v>
      </c>
      <c r="D116" s="137">
        <f>'Equipamentos e Materiais'!E101</f>
        <v>215.12</v>
      </c>
      <c r="F116" s="144" t="s">
        <v>207</v>
      </c>
      <c r="G116" s="145"/>
      <c r="H116" s="146">
        <f>TRUNC(SUM(I114:I115),2)</f>
        <v>0</v>
      </c>
      <c r="I116" s="149"/>
    </row>
    <row r="117" spans="1:9">
      <c r="A117" s="98" t="s">
        <v>50</v>
      </c>
      <c r="B117" t="s">
        <v>157</v>
      </c>
      <c r="D117" s="137">
        <f>'Equipamentos e Materiais'!F132</f>
        <v>15.37</v>
      </c>
      <c r="F117" s="144" t="s">
        <v>229</v>
      </c>
      <c r="G117" s="145"/>
      <c r="H117" s="146">
        <f>TRUNC(H116/12,2)</f>
        <v>0</v>
      </c>
      <c r="I117" s="149"/>
    </row>
    <row r="118" spans="1:9">
      <c r="A118" s="98" t="s">
        <v>53</v>
      </c>
      <c r="B118" t="s">
        <v>230</v>
      </c>
      <c r="C118" s="99" t="s">
        <v>231</v>
      </c>
      <c r="D118" s="183">
        <f>H117</f>
        <v>0</v>
      </c>
      <c r="F118" s="147" t="s">
        <v>232</v>
      </c>
      <c r="G118" s="147"/>
      <c r="H118" s="147"/>
      <c r="I118" s="147"/>
    </row>
    <row r="119" spans="1:9">
      <c r="A119" s="98" t="s">
        <v>58</v>
      </c>
      <c r="D119" s="148">
        <f>TRUNC(SUM(D114:D118),2)</f>
        <v>357.4</v>
      </c>
      <c r="F119" s="147"/>
      <c r="G119" s="147"/>
      <c r="H119" s="147"/>
      <c r="I119" s="147"/>
    </row>
    <row r="120" ht="15.15"/>
    <row r="121" ht="15.9" spans="1:4">
      <c r="A121" s="107" t="s">
        <v>233</v>
      </c>
      <c r="B121" s="107"/>
      <c r="C121" s="112" t="s">
        <v>205</v>
      </c>
      <c r="D121" s="113">
        <f>D31</f>
        <v>1619.68</v>
      </c>
    </row>
    <row r="122" ht="15.9" spans="1:4">
      <c r="A122" s="107"/>
      <c r="B122" s="107"/>
      <c r="C122" s="114" t="s">
        <v>215</v>
      </c>
      <c r="D122" s="113">
        <f>D73</f>
        <v>1517.86</v>
      </c>
    </row>
    <row r="123" ht="15.9" spans="1:4">
      <c r="A123" s="107"/>
      <c r="B123" s="107"/>
      <c r="C123" s="112" t="s">
        <v>216</v>
      </c>
      <c r="D123" s="113">
        <f>D83</f>
        <v>97.86</v>
      </c>
    </row>
    <row r="124" ht="15.9" spans="1:4">
      <c r="A124" s="107"/>
      <c r="B124" s="107"/>
      <c r="C124" s="114" t="s">
        <v>234</v>
      </c>
      <c r="D124" s="113">
        <f>D110</f>
        <v>109.02</v>
      </c>
    </row>
    <row r="125" ht="15.9" spans="1:4">
      <c r="A125" s="107"/>
      <c r="B125" s="107"/>
      <c r="C125" s="112" t="s">
        <v>235</v>
      </c>
      <c r="D125" s="113">
        <f>D119</f>
        <v>357.4</v>
      </c>
    </row>
    <row r="126" ht="15.9" spans="1:4">
      <c r="A126" s="107"/>
      <c r="B126" s="107"/>
      <c r="C126" s="114" t="s">
        <v>207</v>
      </c>
      <c r="D126" s="115">
        <f>TRUNC((SUM(D121:D125)),2)</f>
        <v>3701.82</v>
      </c>
    </row>
    <row r="127" ht="15.15"/>
    <row r="128" spans="1:4">
      <c r="A128" s="76" t="s">
        <v>164</v>
      </c>
      <c r="B128" s="77"/>
      <c r="C128" s="77"/>
      <c r="D128" s="77"/>
    </row>
    <row r="129" ht="15.15" spans="1:7">
      <c r="A129" s="98" t="s">
        <v>165</v>
      </c>
      <c r="B129" t="s">
        <v>166</v>
      </c>
      <c r="C129" s="99" t="s">
        <v>38</v>
      </c>
      <c r="D129" s="99" t="s">
        <v>19</v>
      </c>
      <c r="F129" s="135" t="s">
        <v>236</v>
      </c>
      <c r="G129" s="135"/>
    </row>
    <row r="130" ht="15.15" spans="1:7">
      <c r="A130" s="98" t="s">
        <v>42</v>
      </c>
      <c r="B130" t="s">
        <v>167</v>
      </c>
      <c r="C130" s="117">
        <v>0.04</v>
      </c>
      <c r="D130" s="101">
        <f>TRUNC(($D$126*C130),2)</f>
        <v>148.07</v>
      </c>
      <c r="F130" s="138" t="s">
        <v>237</v>
      </c>
      <c r="G130" s="124">
        <f>C132</f>
        <v>0.0865</v>
      </c>
    </row>
    <row r="131" ht="15.15" spans="1:7">
      <c r="A131" s="98" t="s">
        <v>45</v>
      </c>
      <c r="B131" t="s">
        <v>59</v>
      </c>
      <c r="C131" s="117">
        <v>0.05</v>
      </c>
      <c r="D131" s="101">
        <f>TRUNC((C131*(D126+D130)),2)</f>
        <v>192.49</v>
      </c>
      <c r="F131" s="150" t="s">
        <v>238</v>
      </c>
      <c r="G131" s="151">
        <f>TRUNC(SUM(D126,D130,D131),2)</f>
        <v>4042.38</v>
      </c>
    </row>
    <row r="132" ht="15.15" spans="1:7">
      <c r="A132" s="98" t="s">
        <v>48</v>
      </c>
      <c r="B132" t="s">
        <v>168</v>
      </c>
      <c r="C132" s="117">
        <f>SUM(C133:C135)</f>
        <v>0.0865</v>
      </c>
      <c r="D132" s="101">
        <f>TRUNC((SUM(D133:D135)),2)</f>
        <v>382.76</v>
      </c>
      <c r="F132" s="138" t="s">
        <v>239</v>
      </c>
      <c r="G132" s="152">
        <f>(100-8.65)/100</f>
        <v>0.9135</v>
      </c>
    </row>
    <row r="133" ht="15.15" spans="1:7">
      <c r="A133" s="98"/>
      <c r="B133" t="s">
        <v>240</v>
      </c>
      <c r="C133" s="117">
        <v>0.0065</v>
      </c>
      <c r="D133" s="101">
        <f t="shared" ref="D133:D135" si="2">TRUNC(($G$133*C133),2)</f>
        <v>28.76</v>
      </c>
      <c r="F133" s="150" t="s">
        <v>236</v>
      </c>
      <c r="G133" s="151">
        <f>TRUNC((G131/G132),2)</f>
        <v>4425.15</v>
      </c>
    </row>
    <row r="134" ht="15.15" spans="1:4">
      <c r="A134" s="98"/>
      <c r="B134" t="s">
        <v>241</v>
      </c>
      <c r="C134" s="117">
        <v>0.03</v>
      </c>
      <c r="D134" s="101">
        <f t="shared" si="2"/>
        <v>132.75</v>
      </c>
    </row>
    <row r="135" spans="1:4">
      <c r="A135" s="98"/>
      <c r="B135" t="s">
        <v>242</v>
      </c>
      <c r="C135" s="117">
        <v>0.05</v>
      </c>
      <c r="D135" s="101">
        <f t="shared" si="2"/>
        <v>221.25</v>
      </c>
    </row>
    <row r="136" spans="1:4">
      <c r="A136" s="98" t="s">
        <v>58</v>
      </c>
      <c r="B136" s="176"/>
      <c r="C136" s="153"/>
      <c r="D136" s="105">
        <f>TRUNC(SUM(D130:D132),2)</f>
        <v>723.32</v>
      </c>
    </row>
    <row r="137" spans="1:4">
      <c r="A137" s="98"/>
      <c r="C137" s="153"/>
      <c r="D137" s="105"/>
    </row>
    <row r="139" spans="1:4">
      <c r="A139" s="76" t="s">
        <v>172</v>
      </c>
      <c r="B139" s="77"/>
      <c r="C139" s="77"/>
      <c r="D139" s="77"/>
    </row>
    <row r="140" spans="1:4">
      <c r="A140" s="98" t="s">
        <v>16</v>
      </c>
      <c r="B140" s="99" t="s">
        <v>173</v>
      </c>
      <c r="C140" s="99" t="s">
        <v>102</v>
      </c>
      <c r="D140" s="99" t="s">
        <v>19</v>
      </c>
    </row>
    <row r="141" spans="1:4">
      <c r="A141" s="98" t="s">
        <v>42</v>
      </c>
      <c r="B141" t="s">
        <v>36</v>
      </c>
      <c r="D141" s="105">
        <f>D31</f>
        <v>1619.68</v>
      </c>
    </row>
    <row r="142" spans="1:4">
      <c r="A142" s="98" t="s">
        <v>45</v>
      </c>
      <c r="B142" t="s">
        <v>61</v>
      </c>
      <c r="D142" s="105">
        <f>D73</f>
        <v>1517.86</v>
      </c>
    </row>
    <row r="143" spans="1:4">
      <c r="A143" s="98" t="s">
        <v>48</v>
      </c>
      <c r="B143" t="s">
        <v>108</v>
      </c>
      <c r="D143" s="105">
        <f>D83</f>
        <v>97.86</v>
      </c>
    </row>
    <row r="144" spans="1:4">
      <c r="A144" s="98" t="s">
        <v>50</v>
      </c>
      <c r="B144" t="s">
        <v>174</v>
      </c>
      <c r="D144" s="105">
        <f>D110</f>
        <v>109.02</v>
      </c>
    </row>
    <row r="145" spans="1:4">
      <c r="A145" s="98" t="s">
        <v>53</v>
      </c>
      <c r="B145" t="s">
        <v>152</v>
      </c>
      <c r="D145" s="105">
        <f>D119</f>
        <v>357.4</v>
      </c>
    </row>
    <row r="146" spans="2:4">
      <c r="B146" s="154" t="s">
        <v>243</v>
      </c>
      <c r="D146" s="105">
        <f>TRUNC(SUM(D141:D145),2)</f>
        <v>3701.82</v>
      </c>
    </row>
    <row r="147" spans="1:4">
      <c r="A147" s="98" t="s">
        <v>55</v>
      </c>
      <c r="B147" t="s">
        <v>164</v>
      </c>
      <c r="D147" s="105">
        <f>D136</f>
        <v>723.32</v>
      </c>
    </row>
    <row r="148" spans="1:4">
      <c r="A148" s="175"/>
      <c r="B148" s="156" t="s">
        <v>244</v>
      </c>
      <c r="C148" s="157"/>
      <c r="D148" s="158">
        <f>TRUNC((SUM(D141:D145)+D147),2)</f>
        <v>4425.14</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workbookViewId="0">
      <selection activeCell="G7" sqref="G7"/>
    </sheetView>
  </sheetViews>
  <sheetFormatPr defaultColWidth="9.13888888888889" defaultRowHeight="14.4"/>
  <cols>
    <col min="1" max="1" width="12" style="165" customWidth="1"/>
    <col min="2" max="2" width="52.6944444444444" customWidth="1"/>
    <col min="3" max="3" width="36" customWidth="1"/>
    <col min="4" max="4" width="38.1388888888889" customWidth="1"/>
    <col min="6" max="6" width="22.8611111111111" customWidth="1"/>
    <col min="7" max="7" width="12.8611111111111" customWidth="1"/>
    <col min="8" max="8" width="10.4259259259259" customWidth="1"/>
    <col min="9" max="9" width="11.4259259259259" customWidth="1"/>
  </cols>
  <sheetData>
    <row r="2" ht="18.75" spans="1:4">
      <c r="A2" s="67" t="s">
        <v>177</v>
      </c>
      <c r="B2" s="68"/>
      <c r="C2" s="68"/>
      <c r="D2" s="68"/>
    </row>
    <row r="3" ht="15.15" spans="1:4">
      <c r="A3" s="166" t="s">
        <v>178</v>
      </c>
      <c r="B3" s="167"/>
      <c r="C3" s="167"/>
      <c r="D3" s="167"/>
    </row>
    <row r="4" spans="1:4">
      <c r="A4" s="168" t="s">
        <v>179</v>
      </c>
      <c r="B4" s="72" t="s">
        <v>245</v>
      </c>
      <c r="C4" s="73"/>
      <c r="D4" s="73"/>
    </row>
    <row r="5" spans="1:4">
      <c r="A5" s="169"/>
      <c r="B5" s="75"/>
      <c r="C5" s="75"/>
      <c r="D5" s="75"/>
    </row>
    <row r="6" ht="15.15" spans="1:4">
      <c r="A6" s="76" t="s">
        <v>181</v>
      </c>
      <c r="B6" s="77"/>
      <c r="C6" s="77"/>
      <c r="D6" s="77"/>
    </row>
    <row r="7" ht="15.15" spans="1:4">
      <c r="A7" s="78" t="s">
        <v>42</v>
      </c>
      <c r="B7" s="79" t="s">
        <v>182</v>
      </c>
      <c r="C7" s="80" t="s">
        <v>183</v>
      </c>
      <c r="D7" s="80"/>
    </row>
    <row r="8" spans="1:4">
      <c r="A8" s="81" t="s">
        <v>45</v>
      </c>
      <c r="B8" s="82" t="s">
        <v>184</v>
      </c>
      <c r="C8" s="83" t="s">
        <v>185</v>
      </c>
      <c r="D8" s="83"/>
    </row>
    <row r="9" spans="1:4">
      <c r="A9" s="84" t="s">
        <v>48</v>
      </c>
      <c r="B9" s="85" t="s">
        <v>186</v>
      </c>
      <c r="C9" s="83" t="s">
        <v>187</v>
      </c>
      <c r="D9" s="83"/>
    </row>
    <row r="10" spans="1:4">
      <c r="A10" s="81" t="s">
        <v>53</v>
      </c>
      <c r="B10" s="82" t="s">
        <v>188</v>
      </c>
      <c r="C10" s="83" t="s">
        <v>189</v>
      </c>
      <c r="D10" s="83"/>
    </row>
    <row r="11" ht="15.15" spans="1:4">
      <c r="A11" s="86" t="s">
        <v>190</v>
      </c>
      <c r="B11" s="87"/>
      <c r="C11" s="87"/>
      <c r="D11" s="87"/>
    </row>
    <row r="12" ht="15.9" spans="1:4">
      <c r="A12" s="88" t="s">
        <v>191</v>
      </c>
      <c r="B12" s="89"/>
      <c r="C12" s="87" t="s">
        <v>192</v>
      </c>
      <c r="D12" s="90" t="s">
        <v>193</v>
      </c>
    </row>
    <row r="13" ht="15.15" spans="1:4">
      <c r="A13" s="91" t="s">
        <v>246</v>
      </c>
      <c r="B13" s="92"/>
      <c r="C13" s="83" t="s">
        <v>195</v>
      </c>
      <c r="D13" s="93">
        <f>RESUMO!D4</f>
        <v>1</v>
      </c>
    </row>
    <row r="14" spans="1:4">
      <c r="A14" s="94"/>
      <c r="B14" s="95"/>
      <c r="C14" s="83"/>
      <c r="D14" s="96"/>
    </row>
    <row r="15" ht="15.15" spans="1:7">
      <c r="A15" s="86" t="s">
        <v>14</v>
      </c>
      <c r="B15" s="87"/>
      <c r="C15" s="87"/>
      <c r="D15" s="87"/>
      <c r="F15" s="97"/>
      <c r="G15" s="97"/>
    </row>
    <row r="16" ht="15.15" spans="1:4">
      <c r="A16" s="98" t="s">
        <v>16</v>
      </c>
      <c r="B16" t="s">
        <v>17</v>
      </c>
      <c r="C16" s="99" t="s">
        <v>18</v>
      </c>
      <c r="D16" s="99" t="s">
        <v>19</v>
      </c>
    </row>
    <row r="17" spans="1:4">
      <c r="A17" s="98">
        <v>1</v>
      </c>
      <c r="B17" t="s">
        <v>20</v>
      </c>
      <c r="C17" s="100" t="s">
        <v>102</v>
      </c>
      <c r="D17" s="100" t="str">
        <f>A13</f>
        <v>Eletricista</v>
      </c>
    </row>
    <row r="18" spans="1:4">
      <c r="A18" s="98">
        <v>2</v>
      </c>
      <c r="B18" t="s">
        <v>23</v>
      </c>
      <c r="C18" s="100" t="s">
        <v>196</v>
      </c>
      <c r="D18" s="100" t="s">
        <v>247</v>
      </c>
    </row>
    <row r="19" spans="1:4">
      <c r="A19" s="98">
        <v>3</v>
      </c>
      <c r="B19" t="s">
        <v>26</v>
      </c>
      <c r="C19" s="100" t="str">
        <f>C9</f>
        <v>CCT PB000517/2021</v>
      </c>
      <c r="D19" s="101">
        <v>1619.68</v>
      </c>
    </row>
    <row r="20" spans="1:4">
      <c r="A20" s="98">
        <v>4</v>
      </c>
      <c r="B20" t="s">
        <v>29</v>
      </c>
      <c r="C20" s="100" t="str">
        <f>C9</f>
        <v>CCT PB000517/2021</v>
      </c>
      <c r="D20" s="102" t="s">
        <v>198</v>
      </c>
    </row>
    <row r="21" spans="1:4">
      <c r="A21" s="98">
        <v>5</v>
      </c>
      <c r="B21" t="s">
        <v>33</v>
      </c>
      <c r="C21" s="100" t="str">
        <f>C9</f>
        <v>CCT PB000517/2021</v>
      </c>
      <c r="D21" s="103" t="s">
        <v>199</v>
      </c>
    </row>
    <row r="22" spans="6:7">
      <c r="F22" s="97"/>
      <c r="G22" s="97"/>
    </row>
    <row r="23" spans="1:4">
      <c r="A23" s="76" t="s">
        <v>36</v>
      </c>
      <c r="B23" s="77"/>
      <c r="C23" s="77"/>
      <c r="D23" s="77"/>
    </row>
    <row r="24" spans="1:7">
      <c r="A24" s="98" t="s">
        <v>39</v>
      </c>
      <c r="B24" s="22" t="s">
        <v>40</v>
      </c>
      <c r="C24" s="99" t="s">
        <v>18</v>
      </c>
      <c r="D24" s="99" t="s">
        <v>19</v>
      </c>
      <c r="G24" s="104"/>
    </row>
    <row r="25" spans="1:7">
      <c r="A25" s="98" t="s">
        <v>42</v>
      </c>
      <c r="B25" t="s">
        <v>43</v>
      </c>
      <c r="C25" s="102" t="s">
        <v>200</v>
      </c>
      <c r="D25" s="101">
        <f>D19</f>
        <v>1619.68</v>
      </c>
      <c r="G25" s="104"/>
    </row>
    <row r="26" spans="1:7">
      <c r="A26" s="98" t="s">
        <v>45</v>
      </c>
      <c r="B26" t="s">
        <v>46</v>
      </c>
      <c r="C26" s="102" t="s">
        <v>248</v>
      </c>
      <c r="D26" s="118">
        <f>TRUNC((D25*30%),2)</f>
        <v>485.9</v>
      </c>
      <c r="G26" s="104"/>
    </row>
    <row r="27" spans="1:4">
      <c r="A27" s="98" t="s">
        <v>48</v>
      </c>
      <c r="B27" t="s">
        <v>49</v>
      </c>
      <c r="C27" s="102"/>
      <c r="D27" s="101">
        <v>0</v>
      </c>
    </row>
    <row r="28" spans="1:4">
      <c r="A28" s="98" t="s">
        <v>50</v>
      </c>
      <c r="B28" t="s">
        <v>51</v>
      </c>
      <c r="C28" s="102"/>
      <c r="D28" s="101">
        <v>0</v>
      </c>
    </row>
    <row r="29" spans="1:4">
      <c r="A29" s="98" t="s">
        <v>53</v>
      </c>
      <c r="B29" t="s">
        <v>54</v>
      </c>
      <c r="C29" s="102"/>
      <c r="D29" s="101">
        <v>0</v>
      </c>
    </row>
    <row r="30" spans="1:4">
      <c r="A30" s="98" t="s">
        <v>55</v>
      </c>
      <c r="B30" t="s">
        <v>56</v>
      </c>
      <c r="C30" s="102"/>
      <c r="D30" s="101">
        <v>0</v>
      </c>
    </row>
    <row r="31" spans="1:7">
      <c r="A31" s="98" t="s">
        <v>58</v>
      </c>
      <c r="C31" s="99"/>
      <c r="D31" s="105">
        <f>TRUNC(SUM(D25:D30),2)</f>
        <v>2105.58</v>
      </c>
      <c r="F31" s="97"/>
      <c r="G31" s="97"/>
    </row>
    <row r="33" spans="1:7">
      <c r="A33" s="107" t="s">
        <v>61</v>
      </c>
      <c r="B33" s="108"/>
      <c r="C33" s="108"/>
      <c r="D33" s="108"/>
      <c r="G33" s="104"/>
    </row>
    <row r="35" spans="1:4">
      <c r="A35" s="109" t="s">
        <v>63</v>
      </c>
      <c r="B35" s="97"/>
      <c r="C35" s="97"/>
      <c r="D35" s="97"/>
    </row>
    <row r="36" spans="1:4">
      <c r="A36" s="98" t="s">
        <v>65</v>
      </c>
      <c r="B36" s="22" t="s">
        <v>66</v>
      </c>
      <c r="C36" s="99" t="s">
        <v>38</v>
      </c>
      <c r="D36" s="99" t="s">
        <v>19</v>
      </c>
    </row>
    <row r="37" spans="1:7">
      <c r="A37" s="98" t="s">
        <v>42</v>
      </c>
      <c r="B37" t="s">
        <v>67</v>
      </c>
      <c r="C37" s="110">
        <f>(1/12)</f>
        <v>0.0833333333333333</v>
      </c>
      <c r="D37" s="105">
        <f>TRUNC($D$31*C37,2)</f>
        <v>175.46</v>
      </c>
      <c r="F37" s="111"/>
      <c r="G37" s="111"/>
    </row>
    <row r="38" spans="1:7">
      <c r="A38" s="98" t="s">
        <v>45</v>
      </c>
      <c r="B38" t="s">
        <v>68</v>
      </c>
      <c r="C38" s="110">
        <f>(((1+1/3)/12))</f>
        <v>0.111111111111111</v>
      </c>
      <c r="D38" s="105">
        <f>TRUNC($D$31*C38,2)</f>
        <v>233.95</v>
      </c>
      <c r="F38" s="111"/>
      <c r="G38" s="111"/>
    </row>
    <row r="39" spans="1:7">
      <c r="A39" s="98" t="s">
        <v>58</v>
      </c>
      <c r="D39" s="105">
        <f>TRUNC((SUM(D37:D38)),2)</f>
        <v>409.41</v>
      </c>
      <c r="F39" s="111"/>
      <c r="G39" s="111"/>
    </row>
    <row r="40" ht="15.15" spans="4:7">
      <c r="D40" s="105"/>
      <c r="F40" s="111"/>
      <c r="G40" s="111"/>
    </row>
    <row r="41" ht="15.9" spans="1:7">
      <c r="A41" s="107" t="s">
        <v>204</v>
      </c>
      <c r="B41" s="107"/>
      <c r="C41" s="112" t="s">
        <v>205</v>
      </c>
      <c r="D41" s="113">
        <f>D31</f>
        <v>2105.58</v>
      </c>
      <c r="F41" s="111"/>
      <c r="G41" s="111"/>
    </row>
    <row r="42" ht="15.9" spans="1:7">
      <c r="A42" s="107"/>
      <c r="B42" s="107"/>
      <c r="C42" s="114" t="s">
        <v>206</v>
      </c>
      <c r="D42" s="113">
        <f>D39</f>
        <v>409.41</v>
      </c>
      <c r="F42" s="111"/>
      <c r="G42" s="111"/>
    </row>
    <row r="43" ht="15.9" spans="1:7">
      <c r="A43" s="107"/>
      <c r="B43" s="107"/>
      <c r="C43" s="112" t="s">
        <v>207</v>
      </c>
      <c r="D43" s="115">
        <f>TRUNC((SUM(D41:D42)),2)</f>
        <v>2514.99</v>
      </c>
      <c r="F43" s="111"/>
      <c r="G43" s="111"/>
    </row>
    <row r="44" ht="15.15" spans="1:7">
      <c r="A44" s="98"/>
      <c r="C44" s="116"/>
      <c r="D44" s="105"/>
      <c r="F44" s="111"/>
      <c r="G44" s="111"/>
    </row>
    <row r="45" spans="1:4">
      <c r="A45" s="109" t="s">
        <v>77</v>
      </c>
      <c r="B45" s="97"/>
      <c r="C45" s="97"/>
      <c r="D45" s="97"/>
    </row>
    <row r="46" spans="1:4">
      <c r="A46" s="98" t="s">
        <v>78</v>
      </c>
      <c r="B46" s="22" t="s">
        <v>79</v>
      </c>
      <c r="C46" s="99" t="s">
        <v>38</v>
      </c>
      <c r="D46" s="99" t="s">
        <v>80</v>
      </c>
    </row>
    <row r="47" spans="1:4">
      <c r="A47" s="98" t="s">
        <v>42</v>
      </c>
      <c r="B47" t="s">
        <v>81</v>
      </c>
      <c r="C47" s="110">
        <v>0.2</v>
      </c>
      <c r="D47" s="105">
        <f t="shared" ref="D47:D54" si="0">TRUNC(($D$43*C47),2)</f>
        <v>502.99</v>
      </c>
    </row>
    <row r="48" spans="1:4">
      <c r="A48" s="98" t="s">
        <v>45</v>
      </c>
      <c r="B48" t="s">
        <v>82</v>
      </c>
      <c r="C48" s="110">
        <v>0.025</v>
      </c>
      <c r="D48" s="105">
        <f t="shared" si="0"/>
        <v>62.87</v>
      </c>
    </row>
    <row r="49" spans="1:4">
      <c r="A49" s="98" t="s">
        <v>48</v>
      </c>
      <c r="B49" t="s">
        <v>208</v>
      </c>
      <c r="C49" s="117">
        <v>0.06</v>
      </c>
      <c r="D49" s="101">
        <f t="shared" si="0"/>
        <v>150.89</v>
      </c>
    </row>
    <row r="50" spans="1:4">
      <c r="A50" s="98" t="s">
        <v>50</v>
      </c>
      <c r="B50" t="s">
        <v>84</v>
      </c>
      <c r="C50" s="110">
        <v>0.015</v>
      </c>
      <c r="D50" s="105">
        <f t="shared" si="0"/>
        <v>37.72</v>
      </c>
    </row>
    <row r="51" spans="1:4">
      <c r="A51" s="98" t="s">
        <v>53</v>
      </c>
      <c r="B51" t="s">
        <v>85</v>
      </c>
      <c r="C51" s="110">
        <v>0.01</v>
      </c>
      <c r="D51" s="105">
        <f t="shared" si="0"/>
        <v>25.14</v>
      </c>
    </row>
    <row r="52" spans="1:4">
      <c r="A52" s="98" t="s">
        <v>55</v>
      </c>
      <c r="B52" t="s">
        <v>86</v>
      </c>
      <c r="C52" s="110">
        <v>0.006</v>
      </c>
      <c r="D52" s="105">
        <f t="shared" si="0"/>
        <v>15.08</v>
      </c>
    </row>
    <row r="53" spans="1:4">
      <c r="A53" s="98" t="s">
        <v>87</v>
      </c>
      <c r="B53" t="s">
        <v>88</v>
      </c>
      <c r="C53" s="110">
        <v>0.002</v>
      </c>
      <c r="D53" s="105">
        <f t="shared" si="0"/>
        <v>5.02</v>
      </c>
    </row>
    <row r="54" spans="1:4">
      <c r="A54" s="98" t="s">
        <v>89</v>
      </c>
      <c r="B54" t="s">
        <v>90</v>
      </c>
      <c r="C54" s="110">
        <v>0.08</v>
      </c>
      <c r="D54" s="105">
        <f t="shared" si="0"/>
        <v>201.19</v>
      </c>
    </row>
    <row r="55" spans="1:4">
      <c r="A55" s="98" t="s">
        <v>58</v>
      </c>
      <c r="C55" s="116">
        <f>SUM(C47:C54)</f>
        <v>0.398</v>
      </c>
      <c r="D55" s="105">
        <f>TRUNC((SUM(D47:D54)),2)</f>
        <v>1000.9</v>
      </c>
    </row>
    <row r="56" spans="1:4">
      <c r="A56" s="98"/>
      <c r="C56" s="116"/>
      <c r="D56" s="105"/>
    </row>
    <row r="57" spans="1:4">
      <c r="A57" s="109" t="s">
        <v>95</v>
      </c>
      <c r="B57" s="97"/>
      <c r="C57" s="97"/>
      <c r="D57" s="97"/>
    </row>
    <row r="58" spans="1:4">
      <c r="A58" s="98" t="s">
        <v>96</v>
      </c>
      <c r="B58" s="22" t="s">
        <v>97</v>
      </c>
      <c r="C58" s="99" t="s">
        <v>18</v>
      </c>
      <c r="D58" s="99" t="s">
        <v>19</v>
      </c>
    </row>
    <row r="59" spans="1:4">
      <c r="A59" s="98" t="s">
        <v>42</v>
      </c>
      <c r="B59" t="s">
        <v>98</v>
      </c>
      <c r="C59" s="100"/>
      <c r="D59" s="118">
        <v>0</v>
      </c>
    </row>
    <row r="60" spans="1:4">
      <c r="A60" s="98" t="s">
        <v>45</v>
      </c>
      <c r="B60" t="s">
        <v>99</v>
      </c>
      <c r="C60" s="100" t="str">
        <f>C9</f>
        <v>CCT PB000517/2021</v>
      </c>
      <c r="D60" s="101">
        <f>TRUNC((((22*20.91))-(((22*20.91))*0.2)),2)</f>
        <v>368.01</v>
      </c>
    </row>
    <row r="61" spans="1:4">
      <c r="A61" s="98" t="s">
        <v>48</v>
      </c>
      <c r="B61" t="s">
        <v>100</v>
      </c>
      <c r="C61" s="100"/>
      <c r="D61" s="101">
        <v>0</v>
      </c>
    </row>
    <row r="62" spans="1:6">
      <c r="A62" s="98" t="s">
        <v>50</v>
      </c>
      <c r="B62" s="119" t="s">
        <v>209</v>
      </c>
      <c r="C62" s="120"/>
      <c r="D62" s="120">
        <v>0</v>
      </c>
      <c r="F62" s="119"/>
    </row>
    <row r="63" spans="1:4">
      <c r="A63" s="98" t="s">
        <v>53</v>
      </c>
      <c r="B63" s="22" t="s">
        <v>210</v>
      </c>
      <c r="C63" s="100" t="str">
        <f>C60</f>
        <v>CCT PB000517/2021</v>
      </c>
      <c r="D63" s="101">
        <v>20</v>
      </c>
    </row>
    <row r="64" spans="1:4">
      <c r="A64" s="98" t="s">
        <v>55</v>
      </c>
      <c r="B64" s="121" t="s">
        <v>211</v>
      </c>
      <c r="C64" s="100" t="str">
        <f>C9</f>
        <v>CCT PB000517/2021</v>
      </c>
      <c r="D64" s="101">
        <v>5</v>
      </c>
    </row>
    <row r="65" spans="1:4">
      <c r="A65" s="98" t="s">
        <v>87</v>
      </c>
      <c r="B65" s="121" t="s">
        <v>212</v>
      </c>
      <c r="C65" s="120" t="str">
        <f>C60</f>
        <v>CCT PB000517/2021</v>
      </c>
      <c r="D65" s="101">
        <v>40</v>
      </c>
    </row>
    <row r="66" spans="1:4">
      <c r="A66" s="98" t="s">
        <v>58</v>
      </c>
      <c r="D66" s="105">
        <f>TRUNC((SUM(D59:D65)),2)</f>
        <v>433.01</v>
      </c>
    </row>
    <row r="67" spans="1:4">
      <c r="A67" s="98"/>
      <c r="D67" s="105"/>
    </row>
    <row r="68" spans="1:4">
      <c r="A68" s="109" t="s">
        <v>105</v>
      </c>
      <c r="B68" s="97"/>
      <c r="C68" s="97"/>
      <c r="D68" s="97"/>
    </row>
    <row r="69" spans="1:4">
      <c r="A69" s="98" t="s">
        <v>106</v>
      </c>
      <c r="B69" s="22" t="s">
        <v>107</v>
      </c>
      <c r="C69" s="99" t="s">
        <v>18</v>
      </c>
      <c r="D69" s="99" t="s">
        <v>19</v>
      </c>
    </row>
    <row r="70" spans="1:4">
      <c r="A70" s="98" t="s">
        <v>65</v>
      </c>
      <c r="B70" t="s">
        <v>66</v>
      </c>
      <c r="C70" s="99"/>
      <c r="D70" s="105">
        <f>D39</f>
        <v>409.41</v>
      </c>
    </row>
    <row r="71" spans="1:4">
      <c r="A71" s="98" t="s">
        <v>78</v>
      </c>
      <c r="B71" t="s">
        <v>79</v>
      </c>
      <c r="C71" s="99"/>
      <c r="D71" s="105">
        <f>D55</f>
        <v>1000.9</v>
      </c>
    </row>
    <row r="72" spans="1:4">
      <c r="A72" s="98" t="s">
        <v>96</v>
      </c>
      <c r="B72" t="s">
        <v>97</v>
      </c>
      <c r="C72" s="99"/>
      <c r="D72" s="105">
        <f>D66</f>
        <v>433.01</v>
      </c>
    </row>
    <row r="73" spans="1:4">
      <c r="A73" s="98" t="s">
        <v>58</v>
      </c>
      <c r="C73" s="99"/>
      <c r="D73" s="105">
        <f>TRUNC((SUM(D70:D72)),2)</f>
        <v>1843.32</v>
      </c>
    </row>
    <row r="75" spans="1:4">
      <c r="A75" s="76" t="s">
        <v>108</v>
      </c>
      <c r="B75" s="77"/>
      <c r="C75" s="77"/>
      <c r="D75" s="77"/>
    </row>
    <row r="76" spans="1:4">
      <c r="A76" s="98" t="s">
        <v>109</v>
      </c>
      <c r="B76" s="22" t="s">
        <v>110</v>
      </c>
      <c r="C76" s="99" t="s">
        <v>38</v>
      </c>
      <c r="D76" s="99" t="s">
        <v>19</v>
      </c>
    </row>
    <row r="77" spans="1:4">
      <c r="A77" s="98" t="s">
        <v>42</v>
      </c>
      <c r="B77" t="s">
        <v>111</v>
      </c>
      <c r="C77" s="117">
        <f>((1/12)*2%)</f>
        <v>0.00166666666666667</v>
      </c>
      <c r="D77" s="170">
        <f>TRUNC(($D$31*C77),2)</f>
        <v>3.5</v>
      </c>
    </row>
    <row r="78" spans="1:4">
      <c r="A78" s="98" t="s">
        <v>45</v>
      </c>
      <c r="B78" t="s">
        <v>112</v>
      </c>
      <c r="C78" s="122">
        <v>0.08</v>
      </c>
      <c r="D78" s="164">
        <f>TRUNC(($D$77*C78),2)</f>
        <v>0.28</v>
      </c>
    </row>
    <row r="79" ht="28.8" spans="1:4">
      <c r="A79" s="98" t="s">
        <v>48</v>
      </c>
      <c r="B79" s="123" t="s">
        <v>113</v>
      </c>
      <c r="C79" s="124">
        <f>(0.08*0.4*0.02)</f>
        <v>0.00064</v>
      </c>
      <c r="D79" s="171">
        <f>TRUNC(($D$31*C79),2)</f>
        <v>1.34</v>
      </c>
    </row>
    <row r="80" spans="1:4">
      <c r="A80" s="98" t="s">
        <v>50</v>
      </c>
      <c r="B80" t="s">
        <v>114</v>
      </c>
      <c r="C80" s="122">
        <f>(((7/30)/12)*0.98)</f>
        <v>0.0190555555555556</v>
      </c>
      <c r="D80" s="164">
        <f>TRUNC(($D$31*C80),2)</f>
        <v>40.12</v>
      </c>
    </row>
    <row r="81" ht="28.8" spans="1:4">
      <c r="A81" s="98" t="s">
        <v>53</v>
      </c>
      <c r="B81" s="123" t="s">
        <v>213</v>
      </c>
      <c r="C81" s="124">
        <f>C55</f>
        <v>0.398</v>
      </c>
      <c r="D81" s="170">
        <f>TRUNC(($D$80*C81),2)</f>
        <v>15.96</v>
      </c>
    </row>
    <row r="82" ht="28.8" spans="1:4">
      <c r="A82" s="98" t="s">
        <v>55</v>
      </c>
      <c r="B82" s="123" t="s">
        <v>115</v>
      </c>
      <c r="C82" s="124">
        <f>(0.08*0.4*0.98)</f>
        <v>0.03136</v>
      </c>
      <c r="D82" s="170">
        <f>TRUNC(($D$31*C82),2)</f>
        <v>66.03</v>
      </c>
    </row>
    <row r="83" spans="1:4">
      <c r="A83" s="98" t="s">
        <v>58</v>
      </c>
      <c r="C83" s="122">
        <f>SUM(C77:C82)</f>
        <v>0.530722222222222</v>
      </c>
      <c r="D83" s="105">
        <f>TRUNC((SUM(D77:D82)),2)</f>
        <v>127.23</v>
      </c>
    </row>
    <row r="84" ht="15.15" spans="1:4">
      <c r="A84" s="98"/>
      <c r="D84" s="105"/>
    </row>
    <row r="85" ht="15.9" spans="1:4">
      <c r="A85" s="107" t="s">
        <v>214</v>
      </c>
      <c r="B85" s="107"/>
      <c r="C85" s="112" t="s">
        <v>205</v>
      </c>
      <c r="D85" s="113">
        <f>D31</f>
        <v>2105.58</v>
      </c>
    </row>
    <row r="86" ht="15.9" spans="1:4">
      <c r="A86" s="107"/>
      <c r="B86" s="107"/>
      <c r="C86" s="114" t="s">
        <v>215</v>
      </c>
      <c r="D86" s="113">
        <f>D73</f>
        <v>1843.32</v>
      </c>
    </row>
    <row r="87" ht="15.9" spans="1:4">
      <c r="A87" s="107"/>
      <c r="B87" s="107"/>
      <c r="C87" s="112" t="s">
        <v>216</v>
      </c>
      <c r="D87" s="113">
        <f>D83</f>
        <v>127.23</v>
      </c>
    </row>
    <row r="88" ht="15.9" spans="1:4">
      <c r="A88" s="107"/>
      <c r="B88" s="107"/>
      <c r="C88" s="114" t="s">
        <v>207</v>
      </c>
      <c r="D88" s="115">
        <f>TRUNC((SUM(D85:D87)),2)</f>
        <v>4076.13</v>
      </c>
    </row>
    <row r="89" ht="15.15" spans="1:4">
      <c r="A89" s="98"/>
      <c r="D89" s="105"/>
    </row>
    <row r="90" spans="1:4">
      <c r="A90" s="125" t="s">
        <v>127</v>
      </c>
      <c r="B90" s="126"/>
      <c r="C90" s="126"/>
      <c r="D90" s="126"/>
    </row>
    <row r="91" spans="1:4">
      <c r="A91" s="109" t="s">
        <v>128</v>
      </c>
      <c r="B91" s="97"/>
      <c r="C91" s="97"/>
      <c r="D91" s="97"/>
    </row>
    <row r="92" spans="1:4">
      <c r="A92" s="98" t="s">
        <v>129</v>
      </c>
      <c r="B92" s="22" t="s">
        <v>130</v>
      </c>
      <c r="C92" s="99" t="s">
        <v>38</v>
      </c>
      <c r="D92" s="99" t="s">
        <v>19</v>
      </c>
    </row>
    <row r="93" spans="1:4">
      <c r="A93" s="98" t="s">
        <v>42</v>
      </c>
      <c r="B93" t="s">
        <v>132</v>
      </c>
      <c r="C93" s="122">
        <f>(((1+1/3)/12)/12)+((1/12)/12)</f>
        <v>0.0162037037037037</v>
      </c>
      <c r="D93" s="105">
        <f t="shared" ref="D93:D97" si="1">TRUNC(($D$88*C93),2)</f>
        <v>66.04</v>
      </c>
    </row>
    <row r="94" spans="1:4">
      <c r="A94" s="98" t="s">
        <v>45</v>
      </c>
      <c r="B94" t="s">
        <v>133</v>
      </c>
      <c r="C94" s="117">
        <f>((5/30)/12)</f>
        <v>0.0138888888888889</v>
      </c>
      <c r="D94" s="120">
        <f t="shared" si="1"/>
        <v>56.61</v>
      </c>
    </row>
    <row r="95" spans="1:4">
      <c r="A95" s="98" t="s">
        <v>48</v>
      </c>
      <c r="B95" t="s">
        <v>134</v>
      </c>
      <c r="C95" s="117">
        <f>((5/30)/12)*0.02</f>
        <v>0.000277777777777778</v>
      </c>
      <c r="D95" s="120">
        <f t="shared" si="1"/>
        <v>1.13</v>
      </c>
    </row>
    <row r="96" spans="1:4">
      <c r="A96" s="98" t="s">
        <v>50</v>
      </c>
      <c r="B96" s="123" t="s">
        <v>135</v>
      </c>
      <c r="C96" s="124">
        <f>((15/30)/12)*0.08</f>
        <v>0.00333333333333333</v>
      </c>
      <c r="D96" s="120">
        <f t="shared" si="1"/>
        <v>13.58</v>
      </c>
    </row>
    <row r="97" spans="1:4">
      <c r="A97" s="98" t="s">
        <v>53</v>
      </c>
      <c r="B97" t="s">
        <v>136</v>
      </c>
      <c r="C97" s="117">
        <f>((1+1/3)/12)*0.00001*((4/12))</f>
        <v>3.7037037037037e-7</v>
      </c>
      <c r="D97" s="120">
        <f t="shared" si="1"/>
        <v>0</v>
      </c>
    </row>
    <row r="98" spans="1:4">
      <c r="A98" s="98" t="s">
        <v>55</v>
      </c>
      <c r="B98" s="123" t="s">
        <v>217</v>
      </c>
      <c r="C98" s="127">
        <v>0</v>
      </c>
      <c r="D98" s="120">
        <f>TRUNC($D$88*C98)</f>
        <v>0</v>
      </c>
    </row>
    <row r="99" spans="1:4">
      <c r="A99" s="98" t="s">
        <v>58</v>
      </c>
      <c r="C99" s="122">
        <f>SUBTOTAL(109,Submódulo4.159_41[Percentual])</f>
        <v>0.0337040740740741</v>
      </c>
      <c r="D99" s="105">
        <f>TRUNC((SUM(D93:D98)),2)</f>
        <v>137.36</v>
      </c>
    </row>
    <row r="100" spans="1:4">
      <c r="A100" s="98"/>
      <c r="C100" s="99"/>
      <c r="D100" s="105"/>
    </row>
    <row r="101" spans="1:4">
      <c r="A101" s="109" t="s">
        <v>144</v>
      </c>
      <c r="B101" s="97"/>
      <c r="C101" s="97"/>
      <c r="D101" s="97"/>
    </row>
    <row r="102" spans="1:4">
      <c r="A102" s="98" t="s">
        <v>145</v>
      </c>
      <c r="B102" s="22" t="s">
        <v>146</v>
      </c>
      <c r="C102" s="99" t="s">
        <v>18</v>
      </c>
      <c r="D102" s="99" t="s">
        <v>19</v>
      </c>
    </row>
    <row r="103" ht="57.6" spans="1:4">
      <c r="A103" s="98" t="s">
        <v>42</v>
      </c>
      <c r="B103" s="128" t="s">
        <v>147</v>
      </c>
      <c r="C103" s="129" t="s">
        <v>218</v>
      </c>
      <c r="D103" s="172" t="s">
        <v>219</v>
      </c>
    </row>
    <row r="104" spans="1:4">
      <c r="A104" s="98" t="s">
        <v>58</v>
      </c>
      <c r="C104" s="131"/>
      <c r="D104" s="173" t="str">
        <f>D103</f>
        <v>*=TRUNCAR(($D$86/220)*(1*(365/12))/2)</v>
      </c>
    </row>
    <row r="106" spans="1:4">
      <c r="A106" s="109" t="s">
        <v>148</v>
      </c>
      <c r="B106" s="97"/>
      <c r="C106" s="97"/>
      <c r="D106" s="97"/>
    </row>
    <row r="107" spans="1:4">
      <c r="A107" s="98" t="s">
        <v>149</v>
      </c>
      <c r="B107" s="22" t="s">
        <v>150</v>
      </c>
      <c r="C107" s="99" t="s">
        <v>18</v>
      </c>
      <c r="D107" s="99" t="s">
        <v>19</v>
      </c>
    </row>
    <row r="108" spans="1:4">
      <c r="A108" s="98" t="s">
        <v>129</v>
      </c>
      <c r="B108" t="s">
        <v>130</v>
      </c>
      <c r="D108" s="101">
        <f>D99</f>
        <v>137.36</v>
      </c>
    </row>
    <row r="109" spans="1:4">
      <c r="A109" s="98" t="s">
        <v>145</v>
      </c>
      <c r="B109" t="s">
        <v>151</v>
      </c>
      <c r="C109" s="22"/>
      <c r="D109" s="133" t="str">
        <f>Submódulo4.260_42[[#Totals],[Valor]]</f>
        <v>*=TRUNCAR(($D$86/220)*(1*(365/12))/2)</v>
      </c>
    </row>
    <row r="110" ht="43.2" spans="1:4">
      <c r="A110" s="98" t="s">
        <v>58</v>
      </c>
      <c r="B110" s="119"/>
      <c r="C110" s="129" t="s">
        <v>220</v>
      </c>
      <c r="D110" s="134">
        <f>TRUNC((SUM(D108:D109)),2)</f>
        <v>137.36</v>
      </c>
    </row>
    <row r="112" spans="1:4">
      <c r="A112" s="76" t="s">
        <v>152</v>
      </c>
      <c r="B112" s="77"/>
      <c r="C112" s="77"/>
      <c r="D112" s="77"/>
    </row>
    <row r="113" ht="29.55" spans="1:9">
      <c r="A113" s="98" t="s">
        <v>153</v>
      </c>
      <c r="B113" s="22" t="s">
        <v>154</v>
      </c>
      <c r="C113" s="99" t="s">
        <v>18</v>
      </c>
      <c r="D113" s="99" t="s">
        <v>19</v>
      </c>
      <c r="F113" s="135" t="s">
        <v>221</v>
      </c>
      <c r="G113" s="136" t="s">
        <v>222</v>
      </c>
      <c r="H113" s="136" t="s">
        <v>223</v>
      </c>
      <c r="I113" s="136" t="s">
        <v>224</v>
      </c>
    </row>
    <row r="114" ht="15.9" spans="1:9">
      <c r="A114" s="98" t="s">
        <v>42</v>
      </c>
      <c r="B114" t="s">
        <v>225</v>
      </c>
      <c r="D114" s="137">
        <f>'Uniformes e EPI'!G42</f>
        <v>210.36</v>
      </c>
      <c r="F114" s="138" t="s">
        <v>226</v>
      </c>
      <c r="G114" s="139">
        <v>0</v>
      </c>
      <c r="H114" s="140">
        <v>70</v>
      </c>
      <c r="I114" s="140">
        <f>TRUNC(H114*G114,2)</f>
        <v>0</v>
      </c>
    </row>
    <row r="115" ht="15.9" spans="1:9">
      <c r="A115" s="98" t="s">
        <v>45</v>
      </c>
      <c r="B115" t="s">
        <v>227</v>
      </c>
      <c r="D115" s="137">
        <f>EPC!E21</f>
        <v>24.5</v>
      </c>
      <c r="F115" s="141" t="s">
        <v>228</v>
      </c>
      <c r="G115" s="142">
        <v>0</v>
      </c>
      <c r="H115" s="143">
        <v>35</v>
      </c>
      <c r="I115" s="140">
        <f>TRUNC(H115*G115,2)</f>
        <v>0</v>
      </c>
    </row>
    <row r="116" ht="15.15" spans="1:9">
      <c r="A116" s="98" t="s">
        <v>48</v>
      </c>
      <c r="B116" t="s">
        <v>156</v>
      </c>
      <c r="D116" s="137">
        <f>'Equipamentos e Materiais'!E101</f>
        <v>215.12</v>
      </c>
      <c r="F116" s="144" t="s">
        <v>207</v>
      </c>
      <c r="G116" s="145"/>
      <c r="H116" s="146">
        <f>TRUNC(SUM(I114:I115),2)</f>
        <v>0</v>
      </c>
      <c r="I116" s="149"/>
    </row>
    <row r="117" spans="1:9">
      <c r="A117" s="98" t="s">
        <v>50</v>
      </c>
      <c r="B117" t="s">
        <v>157</v>
      </c>
      <c r="D117" s="137">
        <f>'Equipamentos e Materiais'!F132</f>
        <v>15.37</v>
      </c>
      <c r="F117" s="144" t="s">
        <v>229</v>
      </c>
      <c r="G117" s="145"/>
      <c r="H117" s="146">
        <f>TRUNC(H116/12,2)</f>
        <v>0</v>
      </c>
      <c r="I117" s="149"/>
    </row>
    <row r="118" spans="1:9">
      <c r="A118" s="98" t="s">
        <v>53</v>
      </c>
      <c r="B118" t="s">
        <v>230</v>
      </c>
      <c r="D118" s="137">
        <f>H117</f>
        <v>0</v>
      </c>
      <c r="F118" s="147" t="s">
        <v>232</v>
      </c>
      <c r="G118" s="147"/>
      <c r="H118" s="147"/>
      <c r="I118" s="147"/>
    </row>
    <row r="119" spans="1:9">
      <c r="A119" s="98" t="s">
        <v>58</v>
      </c>
      <c r="D119" s="148">
        <f>TRUNC(SUM(D114:D118),2)</f>
        <v>465.35</v>
      </c>
      <c r="F119" s="147"/>
      <c r="G119" s="147"/>
      <c r="H119" s="147"/>
      <c r="I119" s="147"/>
    </row>
    <row r="120" ht="15.15"/>
    <row r="121" ht="15.9" spans="1:4">
      <c r="A121" s="107" t="s">
        <v>233</v>
      </c>
      <c r="B121" s="107"/>
      <c r="C121" s="112" t="s">
        <v>205</v>
      </c>
      <c r="D121" s="113">
        <f>D31</f>
        <v>2105.58</v>
      </c>
    </row>
    <row r="122" ht="15.9" spans="1:4">
      <c r="A122" s="107"/>
      <c r="B122" s="107"/>
      <c r="C122" s="114" t="s">
        <v>215</v>
      </c>
      <c r="D122" s="113">
        <f>D73</f>
        <v>1843.32</v>
      </c>
    </row>
    <row r="123" ht="15.9" spans="1:4">
      <c r="A123" s="107"/>
      <c r="B123" s="107"/>
      <c r="C123" s="112" t="s">
        <v>216</v>
      </c>
      <c r="D123" s="113">
        <f>D83</f>
        <v>127.23</v>
      </c>
    </row>
    <row r="124" ht="15.9" spans="1:4">
      <c r="A124" s="107"/>
      <c r="B124" s="107"/>
      <c r="C124" s="114" t="s">
        <v>234</v>
      </c>
      <c r="D124" s="113">
        <f>D110</f>
        <v>137.36</v>
      </c>
    </row>
    <row r="125" ht="15.9" spans="1:4">
      <c r="A125" s="107"/>
      <c r="B125" s="107"/>
      <c r="C125" s="112" t="s">
        <v>235</v>
      </c>
      <c r="D125" s="113">
        <f>D119</f>
        <v>465.35</v>
      </c>
    </row>
    <row r="126" ht="15.9" spans="1:4">
      <c r="A126" s="107"/>
      <c r="B126" s="107"/>
      <c r="C126" s="114" t="s">
        <v>207</v>
      </c>
      <c r="D126" s="115">
        <f>TRUNC((SUM(D121:D125)),2)</f>
        <v>4678.84</v>
      </c>
    </row>
    <row r="127" ht="15.15"/>
    <row r="128" spans="1:4">
      <c r="A128" s="76" t="s">
        <v>164</v>
      </c>
      <c r="B128" s="77"/>
      <c r="C128" s="77"/>
      <c r="D128" s="77"/>
    </row>
    <row r="129" ht="15.15" spans="1:7">
      <c r="A129" s="98" t="s">
        <v>165</v>
      </c>
      <c r="B129" t="s">
        <v>166</v>
      </c>
      <c r="C129" s="99" t="s">
        <v>38</v>
      </c>
      <c r="D129" s="99" t="s">
        <v>19</v>
      </c>
      <c r="F129" s="135" t="s">
        <v>236</v>
      </c>
      <c r="G129" s="135"/>
    </row>
    <row r="130" ht="15.15" spans="1:7">
      <c r="A130" s="98" t="s">
        <v>42</v>
      </c>
      <c r="B130" t="s">
        <v>167</v>
      </c>
      <c r="C130" s="117">
        <v>0.04</v>
      </c>
      <c r="D130" s="101">
        <f>TRUNC(($D$126*C130),2)</f>
        <v>187.15</v>
      </c>
      <c r="F130" s="138" t="s">
        <v>237</v>
      </c>
      <c r="G130" s="124">
        <f>C132</f>
        <v>0.0865</v>
      </c>
    </row>
    <row r="131" ht="15.15" spans="1:7">
      <c r="A131" s="98" t="s">
        <v>45</v>
      </c>
      <c r="B131" t="s">
        <v>59</v>
      </c>
      <c r="C131" s="117">
        <v>0.05</v>
      </c>
      <c r="D131" s="101">
        <f>TRUNC((C131*(D126+D130)),2)</f>
        <v>243.29</v>
      </c>
      <c r="F131" s="150" t="s">
        <v>238</v>
      </c>
      <c r="G131" s="174">
        <f>TRUNC(SUM(D126,D130,D131),2)</f>
        <v>5109.28</v>
      </c>
    </row>
    <row r="132" ht="15.15" spans="1:7">
      <c r="A132" s="98" t="s">
        <v>48</v>
      </c>
      <c r="B132" t="s">
        <v>168</v>
      </c>
      <c r="C132" s="117">
        <f>SUM(C133:C135)</f>
        <v>0.0865</v>
      </c>
      <c r="D132" s="101">
        <f>TRUNC((SUM(D133:D135)),2)</f>
        <v>483.79</v>
      </c>
      <c r="F132" s="138" t="s">
        <v>239</v>
      </c>
      <c r="G132" s="152">
        <f>(100-8.65)/100</f>
        <v>0.9135</v>
      </c>
    </row>
    <row r="133" ht="15.15" spans="1:7">
      <c r="A133" s="98"/>
      <c r="B133" t="s">
        <v>240</v>
      </c>
      <c r="C133" s="117">
        <v>0.0065</v>
      </c>
      <c r="D133" s="101">
        <f t="shared" ref="D133:D135" si="2">TRUNC(($G$133*C133),2)</f>
        <v>36.35</v>
      </c>
      <c r="F133" s="150" t="s">
        <v>236</v>
      </c>
      <c r="G133" s="174">
        <f>TRUNC((G131/G132),2)</f>
        <v>5593.08</v>
      </c>
    </row>
    <row r="134" ht="15.15" spans="1:4">
      <c r="A134" s="98"/>
      <c r="B134" t="s">
        <v>241</v>
      </c>
      <c r="C134" s="117">
        <v>0.03</v>
      </c>
      <c r="D134" s="101">
        <f t="shared" si="2"/>
        <v>167.79</v>
      </c>
    </row>
    <row r="135" spans="1:4">
      <c r="A135" s="98"/>
      <c r="B135" t="s">
        <v>242</v>
      </c>
      <c r="C135" s="117">
        <v>0.05</v>
      </c>
      <c r="D135" s="101">
        <f t="shared" si="2"/>
        <v>279.65</v>
      </c>
    </row>
    <row r="136" spans="1:4">
      <c r="A136" s="98" t="s">
        <v>58</v>
      </c>
      <c r="C136" s="153"/>
      <c r="D136" s="105">
        <f>TRUNC(SUM(D130:D132),2)</f>
        <v>914.23</v>
      </c>
    </row>
    <row r="137" spans="1:4">
      <c r="A137" s="98"/>
      <c r="C137" s="153"/>
      <c r="D137" s="105"/>
    </row>
    <row r="139" spans="1:4">
      <c r="A139" s="76" t="s">
        <v>172</v>
      </c>
      <c r="B139" s="77"/>
      <c r="C139" s="77"/>
      <c r="D139" s="77"/>
    </row>
    <row r="140" spans="1:4">
      <c r="A140" s="98" t="s">
        <v>16</v>
      </c>
      <c r="B140" s="99" t="s">
        <v>173</v>
      </c>
      <c r="C140" s="99" t="s">
        <v>102</v>
      </c>
      <c r="D140" s="99" t="s">
        <v>19</v>
      </c>
    </row>
    <row r="141" spans="1:4">
      <c r="A141" s="98" t="s">
        <v>42</v>
      </c>
      <c r="B141" t="s">
        <v>36</v>
      </c>
      <c r="D141" s="105">
        <f>D31</f>
        <v>2105.58</v>
      </c>
    </row>
    <row r="142" spans="1:4">
      <c r="A142" s="98" t="s">
        <v>45</v>
      </c>
      <c r="B142" t="s">
        <v>61</v>
      </c>
      <c r="D142" s="105">
        <f>D73</f>
        <v>1843.32</v>
      </c>
    </row>
    <row r="143" spans="1:4">
      <c r="A143" s="98" t="s">
        <v>48</v>
      </c>
      <c r="B143" t="s">
        <v>108</v>
      </c>
      <c r="D143" s="105">
        <f>D83</f>
        <v>127.23</v>
      </c>
    </row>
    <row r="144" spans="1:4">
      <c r="A144" s="98" t="s">
        <v>50</v>
      </c>
      <c r="B144" t="s">
        <v>174</v>
      </c>
      <c r="D144" s="105">
        <f>D110</f>
        <v>137.36</v>
      </c>
    </row>
    <row r="145" spans="1:4">
      <c r="A145" s="98" t="s">
        <v>53</v>
      </c>
      <c r="B145" t="s">
        <v>152</v>
      </c>
      <c r="D145" s="105">
        <f>D119</f>
        <v>465.35</v>
      </c>
    </row>
    <row r="146" spans="2:4">
      <c r="B146" s="154" t="s">
        <v>243</v>
      </c>
      <c r="D146" s="105">
        <f>TRUNC(SUM(D141:D145),2)</f>
        <v>4678.84</v>
      </c>
    </row>
    <row r="147" spans="1:4">
      <c r="A147" s="98" t="s">
        <v>55</v>
      </c>
      <c r="B147" t="s">
        <v>164</v>
      </c>
      <c r="D147" s="105">
        <f>D136</f>
        <v>914.23</v>
      </c>
    </row>
    <row r="148" spans="1:4">
      <c r="A148" s="175"/>
      <c r="B148" s="156" t="s">
        <v>244</v>
      </c>
      <c r="C148" s="157"/>
      <c r="D148" s="158">
        <f>TRUNC((SUM(D141:D145)+D147),2)</f>
        <v>5593.07</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121" workbookViewId="0">
      <selection activeCell="F27" sqref="F27"/>
    </sheetView>
  </sheetViews>
  <sheetFormatPr defaultColWidth="9.13888888888889" defaultRowHeight="14.4"/>
  <cols>
    <col min="1" max="1" width="12.4259259259259" style="52" customWidth="1"/>
    <col min="2" max="2" width="53" customWidth="1"/>
    <col min="3" max="3" width="30.8611111111111" customWidth="1"/>
    <col min="4" max="4" width="37.4259259259259" customWidth="1"/>
    <col min="6" max="6" width="22.8611111111111" customWidth="1"/>
    <col min="7" max="7" width="13.4259259259259" customWidth="1"/>
    <col min="8" max="8" width="11" customWidth="1"/>
    <col min="9" max="9" width="11.4259259259259" customWidth="1"/>
  </cols>
  <sheetData>
    <row r="2" ht="18.75" spans="1:4">
      <c r="A2" s="67" t="s">
        <v>177</v>
      </c>
      <c r="B2" s="68"/>
      <c r="C2" s="68"/>
      <c r="D2" s="68"/>
    </row>
    <row r="3" ht="15.15" spans="1:4">
      <c r="A3" s="69" t="s">
        <v>178</v>
      </c>
      <c r="B3" s="70"/>
      <c r="C3" s="70"/>
      <c r="D3" s="70"/>
    </row>
    <row r="4" spans="1:4">
      <c r="A4" s="163" t="s">
        <v>179</v>
      </c>
      <c r="B4" s="72" t="s">
        <v>245</v>
      </c>
      <c r="C4" s="73"/>
      <c r="D4" s="73"/>
    </row>
    <row r="5" spans="1:4">
      <c r="A5" s="74"/>
      <c r="B5" s="75"/>
      <c r="C5" s="75"/>
      <c r="D5" s="75"/>
    </row>
    <row r="6" ht="15.15" spans="1:4">
      <c r="A6" s="76" t="s">
        <v>181</v>
      </c>
      <c r="B6" s="77"/>
      <c r="C6" s="77"/>
      <c r="D6" s="77"/>
    </row>
    <row r="7" ht="15.15" spans="1:4">
      <c r="A7" s="78" t="s">
        <v>42</v>
      </c>
      <c r="B7" s="79" t="s">
        <v>182</v>
      </c>
      <c r="C7" s="80" t="s">
        <v>183</v>
      </c>
      <c r="D7" s="80"/>
    </row>
    <row r="8" spans="1:4">
      <c r="A8" s="81" t="s">
        <v>45</v>
      </c>
      <c r="B8" s="82" t="s">
        <v>184</v>
      </c>
      <c r="C8" s="83" t="s">
        <v>185</v>
      </c>
      <c r="D8" s="83"/>
    </row>
    <row r="9" spans="1:4">
      <c r="A9" s="84" t="s">
        <v>48</v>
      </c>
      <c r="B9" s="85" t="s">
        <v>186</v>
      </c>
      <c r="C9" s="83" t="s">
        <v>187</v>
      </c>
      <c r="D9" s="83"/>
    </row>
    <row r="10" spans="1:4">
      <c r="A10" s="81" t="s">
        <v>53</v>
      </c>
      <c r="B10" s="82" t="s">
        <v>188</v>
      </c>
      <c r="C10" s="83" t="s">
        <v>189</v>
      </c>
      <c r="D10" s="83"/>
    </row>
    <row r="11" ht="15.15" spans="1:4">
      <c r="A11" s="86" t="s">
        <v>190</v>
      </c>
      <c r="B11" s="87"/>
      <c r="C11" s="87"/>
      <c r="D11" s="87"/>
    </row>
    <row r="12" ht="15.9" spans="1:4">
      <c r="A12" s="88" t="s">
        <v>191</v>
      </c>
      <c r="B12" s="89"/>
      <c r="C12" s="87" t="s">
        <v>192</v>
      </c>
      <c r="D12" s="90" t="s">
        <v>193</v>
      </c>
    </row>
    <row r="13" ht="15.15" spans="1:4">
      <c r="A13" s="91" t="s">
        <v>249</v>
      </c>
      <c r="B13" s="92"/>
      <c r="C13" s="83" t="s">
        <v>195</v>
      </c>
      <c r="D13" s="93">
        <f>RESUMO!D5</f>
        <v>1</v>
      </c>
    </row>
    <row r="14" spans="1:4">
      <c r="A14" s="94"/>
      <c r="B14" s="95"/>
      <c r="C14" s="83"/>
      <c r="D14" s="96"/>
    </row>
    <row r="15" ht="15.15" spans="1:7">
      <c r="A15" s="86" t="s">
        <v>14</v>
      </c>
      <c r="B15" s="87"/>
      <c r="C15" s="87"/>
      <c r="D15" s="87"/>
      <c r="F15" s="97"/>
      <c r="G15" s="97"/>
    </row>
    <row r="16" ht="15.15" spans="1:4">
      <c r="A16" s="98" t="s">
        <v>16</v>
      </c>
      <c r="B16" t="s">
        <v>17</v>
      </c>
      <c r="C16" s="99" t="s">
        <v>18</v>
      </c>
      <c r="D16" s="99" t="s">
        <v>19</v>
      </c>
    </row>
    <row r="17" spans="1:4">
      <c r="A17" s="98">
        <v>1</v>
      </c>
      <c r="B17" t="s">
        <v>20</v>
      </c>
      <c r="C17" s="100" t="s">
        <v>102</v>
      </c>
      <c r="D17" s="100" t="str">
        <f>A13</f>
        <v>Pintor</v>
      </c>
    </row>
    <row r="18" spans="1:4">
      <c r="A18" s="98">
        <v>2</v>
      </c>
      <c r="B18" t="s">
        <v>23</v>
      </c>
      <c r="C18" s="100" t="s">
        <v>196</v>
      </c>
      <c r="D18" s="100" t="s">
        <v>250</v>
      </c>
    </row>
    <row r="19" spans="1:4">
      <c r="A19" s="98">
        <v>3</v>
      </c>
      <c r="B19" t="s">
        <v>26</v>
      </c>
      <c r="C19" s="100" t="str">
        <f>C9</f>
        <v>CCT PB000517/2021</v>
      </c>
      <c r="D19" s="101">
        <v>1619.68</v>
      </c>
    </row>
    <row r="20" spans="1:4">
      <c r="A20" s="98">
        <v>4</v>
      </c>
      <c r="B20" t="s">
        <v>29</v>
      </c>
      <c r="C20" s="100" t="str">
        <f>C9</f>
        <v>CCT PB000517/2021</v>
      </c>
      <c r="D20" s="102" t="s">
        <v>198</v>
      </c>
    </row>
    <row r="21" spans="1:4">
      <c r="A21" s="98">
        <v>5</v>
      </c>
      <c r="B21" t="s">
        <v>33</v>
      </c>
      <c r="C21" s="100" t="str">
        <f>C9</f>
        <v>CCT PB000517/2021</v>
      </c>
      <c r="D21" s="103" t="s">
        <v>199</v>
      </c>
    </row>
    <row r="22" spans="6:7">
      <c r="F22" s="97"/>
      <c r="G22" s="97"/>
    </row>
    <row r="23" spans="1:4">
      <c r="A23" s="76" t="s">
        <v>36</v>
      </c>
      <c r="B23" s="77"/>
      <c r="C23" s="77"/>
      <c r="D23" s="77"/>
    </row>
    <row r="24" spans="1:7">
      <c r="A24" s="98" t="s">
        <v>39</v>
      </c>
      <c r="B24" s="22" t="s">
        <v>40</v>
      </c>
      <c r="C24" s="99" t="s">
        <v>18</v>
      </c>
      <c r="D24" s="99" t="s">
        <v>19</v>
      </c>
      <c r="G24" s="104"/>
    </row>
    <row r="25" spans="1:7">
      <c r="A25" s="98" t="s">
        <v>42</v>
      </c>
      <c r="B25" t="s">
        <v>43</v>
      </c>
      <c r="C25" s="102" t="s">
        <v>200</v>
      </c>
      <c r="D25" s="101">
        <f>D19</f>
        <v>1619.68</v>
      </c>
      <c r="G25" s="104"/>
    </row>
    <row r="26" spans="1:7">
      <c r="A26" s="98" t="s">
        <v>45</v>
      </c>
      <c r="B26" t="s">
        <v>201</v>
      </c>
      <c r="C26" s="102"/>
      <c r="D26" s="101">
        <v>0</v>
      </c>
      <c r="G26" s="104"/>
    </row>
    <row r="27" spans="1:4">
      <c r="A27" s="98" t="s">
        <v>48</v>
      </c>
      <c r="B27" t="s">
        <v>202</v>
      </c>
      <c r="C27" s="102"/>
      <c r="D27" s="101">
        <v>0</v>
      </c>
    </row>
    <row r="28" spans="1:4">
      <c r="A28" s="98" t="s">
        <v>50</v>
      </c>
      <c r="B28" t="s">
        <v>51</v>
      </c>
      <c r="C28" s="102"/>
      <c r="D28" s="101">
        <v>0</v>
      </c>
    </row>
    <row r="29" spans="1:4">
      <c r="A29" s="98" t="s">
        <v>53</v>
      </c>
      <c r="B29" t="s">
        <v>54</v>
      </c>
      <c r="C29" s="102"/>
      <c r="D29" s="101">
        <v>0</v>
      </c>
    </row>
    <row r="30" spans="1:4">
      <c r="A30" s="98" t="s">
        <v>55</v>
      </c>
      <c r="B30" t="s">
        <v>56</v>
      </c>
      <c r="C30" s="102"/>
      <c r="D30" s="101">
        <v>0</v>
      </c>
    </row>
    <row r="31" spans="1:7">
      <c r="A31" s="98" t="s">
        <v>58</v>
      </c>
      <c r="C31" s="99"/>
      <c r="D31" s="105">
        <f>TRUNC((SUM(D25:D30)),2)</f>
        <v>1619.68</v>
      </c>
      <c r="F31" s="97"/>
      <c r="G31" s="97"/>
    </row>
    <row r="32" spans="2:2">
      <c r="B32" s="106" t="s">
        <v>203</v>
      </c>
    </row>
    <row r="33" spans="1:7">
      <c r="A33" s="107" t="s">
        <v>61</v>
      </c>
      <c r="B33" s="108"/>
      <c r="C33" s="108"/>
      <c r="D33" s="108"/>
      <c r="G33" s="104"/>
    </row>
    <row r="35" spans="1:4">
      <c r="A35" s="109" t="s">
        <v>63</v>
      </c>
      <c r="B35" s="97"/>
      <c r="C35" s="97"/>
      <c r="D35" s="97"/>
    </row>
    <row r="36" spans="1:4">
      <c r="A36" s="98" t="s">
        <v>65</v>
      </c>
      <c r="B36" s="22" t="s">
        <v>66</v>
      </c>
      <c r="C36" s="99" t="s">
        <v>38</v>
      </c>
      <c r="D36" s="99" t="s">
        <v>19</v>
      </c>
    </row>
    <row r="37" spans="1:7">
      <c r="A37" s="98" t="s">
        <v>42</v>
      </c>
      <c r="B37" t="s">
        <v>67</v>
      </c>
      <c r="C37" s="110">
        <f>(1/12)</f>
        <v>0.0833333333333333</v>
      </c>
      <c r="D37" s="105">
        <f>TRUNC($D$31*C37,2)</f>
        <v>134.97</v>
      </c>
      <c r="F37" s="111"/>
      <c r="G37" s="111"/>
    </row>
    <row r="38" spans="1:7">
      <c r="A38" s="98" t="s">
        <v>45</v>
      </c>
      <c r="B38" t="s">
        <v>68</v>
      </c>
      <c r="C38" s="110">
        <f>(((1+1/3)/12))</f>
        <v>0.111111111111111</v>
      </c>
      <c r="D38" s="105">
        <f>TRUNC($D$31*C38,2)</f>
        <v>179.96</v>
      </c>
      <c r="F38" s="111"/>
      <c r="G38" s="111"/>
    </row>
    <row r="39" spans="1:7">
      <c r="A39" s="98" t="s">
        <v>58</v>
      </c>
      <c r="D39" s="105">
        <f>TRUNC((SUM(D37:D38)),2)</f>
        <v>314.93</v>
      </c>
      <c r="F39" s="111"/>
      <c r="G39" s="111"/>
    </row>
    <row r="40" ht="15.15" spans="4:7">
      <c r="D40" s="105"/>
      <c r="F40" s="111"/>
      <c r="G40" s="111"/>
    </row>
    <row r="41" ht="15.9" spans="1:7">
      <c r="A41" s="107" t="s">
        <v>204</v>
      </c>
      <c r="B41" s="107"/>
      <c r="C41" s="112" t="s">
        <v>205</v>
      </c>
      <c r="D41" s="113">
        <f>D31</f>
        <v>1619.68</v>
      </c>
      <c r="F41" s="111"/>
      <c r="G41" s="111"/>
    </row>
    <row r="42" ht="15.9" spans="1:7">
      <c r="A42" s="107"/>
      <c r="B42" s="107"/>
      <c r="C42" s="114" t="s">
        <v>206</v>
      </c>
      <c r="D42" s="113">
        <f>D39</f>
        <v>314.93</v>
      </c>
      <c r="F42" s="111"/>
      <c r="G42" s="111"/>
    </row>
    <row r="43" ht="15.9" spans="1:7">
      <c r="A43" s="107"/>
      <c r="B43" s="107"/>
      <c r="C43" s="112" t="s">
        <v>207</v>
      </c>
      <c r="D43" s="115">
        <f>TRUNC(SUM(D41:D42),2)</f>
        <v>1934.61</v>
      </c>
      <c r="F43" s="111"/>
      <c r="G43" s="111"/>
    </row>
    <row r="44" ht="15.15" spans="1:7">
      <c r="A44" s="98"/>
      <c r="C44" s="116"/>
      <c r="D44" s="105"/>
      <c r="F44" s="111"/>
      <c r="G44" s="111"/>
    </row>
    <row r="45" spans="1:4">
      <c r="A45" s="109" t="s">
        <v>77</v>
      </c>
      <c r="B45" s="97"/>
      <c r="C45" s="97"/>
      <c r="D45" s="97"/>
    </row>
    <row r="46" spans="1:4">
      <c r="A46" s="98" t="s">
        <v>78</v>
      </c>
      <c r="B46" s="22" t="s">
        <v>79</v>
      </c>
      <c r="C46" s="99" t="s">
        <v>38</v>
      </c>
      <c r="D46" s="99" t="s">
        <v>80</v>
      </c>
    </row>
    <row r="47" spans="1:4">
      <c r="A47" s="98" t="s">
        <v>42</v>
      </c>
      <c r="B47" t="s">
        <v>81</v>
      </c>
      <c r="C47" s="110">
        <v>0.2</v>
      </c>
      <c r="D47" s="164">
        <f t="shared" ref="D47:D54" si="0">TRUNC(($D$43*C47),2)</f>
        <v>386.92</v>
      </c>
    </row>
    <row r="48" spans="1:4">
      <c r="A48" s="98" t="s">
        <v>45</v>
      </c>
      <c r="B48" t="s">
        <v>82</v>
      </c>
      <c r="C48" s="110">
        <v>0.025</v>
      </c>
      <c r="D48" s="164">
        <f t="shared" si="0"/>
        <v>48.36</v>
      </c>
    </row>
    <row r="49" spans="1:4">
      <c r="A49" s="98" t="s">
        <v>48</v>
      </c>
      <c r="B49" t="s">
        <v>208</v>
      </c>
      <c r="C49" s="117">
        <v>0.06</v>
      </c>
      <c r="D49" s="164">
        <f t="shared" si="0"/>
        <v>116.07</v>
      </c>
    </row>
    <row r="50" spans="1:4">
      <c r="A50" s="98" t="s">
        <v>50</v>
      </c>
      <c r="B50" t="s">
        <v>84</v>
      </c>
      <c r="C50" s="110">
        <v>0.015</v>
      </c>
      <c r="D50" s="164">
        <f t="shared" si="0"/>
        <v>29.01</v>
      </c>
    </row>
    <row r="51" spans="1:4">
      <c r="A51" s="98" t="s">
        <v>53</v>
      </c>
      <c r="B51" t="s">
        <v>85</v>
      </c>
      <c r="C51" s="110">
        <v>0.01</v>
      </c>
      <c r="D51" s="164">
        <f t="shared" si="0"/>
        <v>19.34</v>
      </c>
    </row>
    <row r="52" spans="1:4">
      <c r="A52" s="98" t="s">
        <v>55</v>
      </c>
      <c r="B52" t="s">
        <v>86</v>
      </c>
      <c r="C52" s="110">
        <v>0.006</v>
      </c>
      <c r="D52" s="164">
        <f t="shared" si="0"/>
        <v>11.6</v>
      </c>
    </row>
    <row r="53" spans="1:4">
      <c r="A53" s="98" t="s">
        <v>87</v>
      </c>
      <c r="B53" t="s">
        <v>88</v>
      </c>
      <c r="C53" s="110">
        <v>0.002</v>
      </c>
      <c r="D53" s="164">
        <f t="shared" si="0"/>
        <v>3.86</v>
      </c>
    </row>
    <row r="54" spans="1:4">
      <c r="A54" s="98" t="s">
        <v>89</v>
      </c>
      <c r="B54" t="s">
        <v>90</v>
      </c>
      <c r="C54" s="110">
        <v>0.08</v>
      </c>
      <c r="D54" s="164">
        <f t="shared" si="0"/>
        <v>154.76</v>
      </c>
    </row>
    <row r="55" spans="1:4">
      <c r="A55" s="98" t="s">
        <v>58</v>
      </c>
      <c r="C55" s="116">
        <f>SUM(C47:C54)</f>
        <v>0.398</v>
      </c>
      <c r="D55" s="105">
        <f>TRUNC((SUM(D47:D54)),2)</f>
        <v>769.92</v>
      </c>
    </row>
    <row r="56" spans="1:4">
      <c r="A56" s="98"/>
      <c r="C56" s="116"/>
      <c r="D56" s="105"/>
    </row>
    <row r="57" spans="1:4">
      <c r="A57" s="109" t="s">
        <v>95</v>
      </c>
      <c r="B57" s="97"/>
      <c r="C57" s="97"/>
      <c r="D57" s="97"/>
    </row>
    <row r="58" spans="1:4">
      <c r="A58" s="98" t="s">
        <v>96</v>
      </c>
      <c r="B58" s="22" t="s">
        <v>97</v>
      </c>
      <c r="C58" s="99" t="s">
        <v>18</v>
      </c>
      <c r="D58" s="99" t="s">
        <v>19</v>
      </c>
    </row>
    <row r="59" spans="1:4">
      <c r="A59" s="98" t="s">
        <v>42</v>
      </c>
      <c r="B59" t="s">
        <v>98</v>
      </c>
      <c r="C59" s="100"/>
      <c r="D59" s="118">
        <v>0</v>
      </c>
    </row>
    <row r="60" spans="1:4">
      <c r="A60" s="98" t="s">
        <v>45</v>
      </c>
      <c r="B60" t="s">
        <v>99</v>
      </c>
      <c r="C60" s="100" t="str">
        <f>C9</f>
        <v>CCT PB000517/2021</v>
      </c>
      <c r="D60" s="101">
        <f>TRUNC((((22*20.91))-(((22*20.91))*0.2)),2)</f>
        <v>368.01</v>
      </c>
    </row>
    <row r="61" spans="1:4">
      <c r="A61" s="98" t="s">
        <v>48</v>
      </c>
      <c r="B61" t="s">
        <v>100</v>
      </c>
      <c r="C61" s="100"/>
      <c r="D61" s="101">
        <v>0</v>
      </c>
    </row>
    <row r="62" spans="1:6">
      <c r="A62" s="98" t="s">
        <v>50</v>
      </c>
      <c r="B62" s="119" t="s">
        <v>209</v>
      </c>
      <c r="C62" s="120"/>
      <c r="D62" s="120">
        <v>0</v>
      </c>
      <c r="F62" s="119"/>
    </row>
    <row r="63" spans="1:4">
      <c r="A63" s="98" t="s">
        <v>53</v>
      </c>
      <c r="B63" s="22" t="s">
        <v>210</v>
      </c>
      <c r="C63" s="100" t="str">
        <f>C60</f>
        <v>CCT PB000517/2021</v>
      </c>
      <c r="D63" s="101">
        <v>20</v>
      </c>
    </row>
    <row r="64" spans="1:4">
      <c r="A64" s="98" t="s">
        <v>55</v>
      </c>
      <c r="B64" s="121" t="s">
        <v>211</v>
      </c>
      <c r="C64" s="100" t="str">
        <f>C9</f>
        <v>CCT PB000517/2021</v>
      </c>
      <c r="D64" s="101">
        <v>5</v>
      </c>
    </row>
    <row r="65" spans="1:4">
      <c r="A65" s="98" t="s">
        <v>87</v>
      </c>
      <c r="B65" s="121" t="s">
        <v>212</v>
      </c>
      <c r="C65" s="120" t="str">
        <f>C60</f>
        <v>CCT PB000517/2021</v>
      </c>
      <c r="D65" s="101">
        <v>40</v>
      </c>
    </row>
    <row r="66" spans="1:4">
      <c r="A66" s="98" t="s">
        <v>58</v>
      </c>
      <c r="D66" s="105">
        <f>TRUNC((SUM(D59:D65)),2)</f>
        <v>433.01</v>
      </c>
    </row>
    <row r="67" spans="1:4">
      <c r="A67" s="98"/>
      <c r="D67" s="105"/>
    </row>
    <row r="68" spans="1:4">
      <c r="A68" s="109" t="s">
        <v>105</v>
      </c>
      <c r="B68" s="97"/>
      <c r="C68" s="97"/>
      <c r="D68" s="97"/>
    </row>
    <row r="69" spans="1:4">
      <c r="A69" s="98" t="s">
        <v>106</v>
      </c>
      <c r="B69" s="22" t="s">
        <v>107</v>
      </c>
      <c r="C69" s="99" t="s">
        <v>18</v>
      </c>
      <c r="D69" s="99" t="s">
        <v>19</v>
      </c>
    </row>
    <row r="70" spans="1:4">
      <c r="A70" s="98" t="s">
        <v>65</v>
      </c>
      <c r="B70" t="s">
        <v>66</v>
      </c>
      <c r="C70" s="99"/>
      <c r="D70" s="105">
        <f>D39</f>
        <v>314.93</v>
      </c>
    </row>
    <row r="71" spans="1:4">
      <c r="A71" s="98" t="s">
        <v>78</v>
      </c>
      <c r="B71" t="s">
        <v>79</v>
      </c>
      <c r="C71" s="99"/>
      <c r="D71" s="105">
        <f>D55</f>
        <v>769.92</v>
      </c>
    </row>
    <row r="72" spans="1:4">
      <c r="A72" s="98" t="s">
        <v>96</v>
      </c>
      <c r="B72" t="s">
        <v>97</v>
      </c>
      <c r="C72" s="99"/>
      <c r="D72" s="105">
        <f>D66</f>
        <v>433.01</v>
      </c>
    </row>
    <row r="73" spans="1:4">
      <c r="A73" s="98" t="s">
        <v>58</v>
      </c>
      <c r="C73" s="99"/>
      <c r="D73" s="105">
        <f>TRUNC((SUM(D70:D72)),2)</f>
        <v>1517.86</v>
      </c>
    </row>
    <row r="75" spans="1:4">
      <c r="A75" s="76" t="s">
        <v>108</v>
      </c>
      <c r="B75" s="77"/>
      <c r="C75" s="77"/>
      <c r="D75" s="77"/>
    </row>
    <row r="76" spans="1:4">
      <c r="A76" s="98" t="s">
        <v>109</v>
      </c>
      <c r="B76" s="22" t="s">
        <v>110</v>
      </c>
      <c r="C76" s="99" t="s">
        <v>38</v>
      </c>
      <c r="D76" s="99" t="s">
        <v>19</v>
      </c>
    </row>
    <row r="77" spans="1:4">
      <c r="A77" s="98" t="s">
        <v>42</v>
      </c>
      <c r="B77" t="s">
        <v>111</v>
      </c>
      <c r="C77" s="117">
        <f>((1/12)*2%)</f>
        <v>0.00166666666666667</v>
      </c>
      <c r="D77" s="101">
        <f>TRUNC(($D$31*C77),2)</f>
        <v>2.69</v>
      </c>
    </row>
    <row r="78" spans="1:4">
      <c r="A78" s="98" t="s">
        <v>45</v>
      </c>
      <c r="B78" t="s">
        <v>112</v>
      </c>
      <c r="C78" s="122">
        <v>0.08</v>
      </c>
      <c r="D78" s="105">
        <f>TRUNC(($D$77*C78),2)</f>
        <v>0.21</v>
      </c>
    </row>
    <row r="79" ht="28.8" spans="1:4">
      <c r="A79" s="98" t="s">
        <v>48</v>
      </c>
      <c r="B79" s="123" t="s">
        <v>113</v>
      </c>
      <c r="C79" s="124">
        <f>(0.08*0.4*0.02)</f>
        <v>0.00064</v>
      </c>
      <c r="D79" s="120">
        <f t="shared" ref="D77:D80" si="1">TRUNC(($D$31*C79),2)</f>
        <v>1.03</v>
      </c>
    </row>
    <row r="80" spans="1:4">
      <c r="A80" s="98" t="s">
        <v>50</v>
      </c>
      <c r="B80" t="s">
        <v>114</v>
      </c>
      <c r="C80" s="122">
        <f>(((7/30)/12)*0.98)</f>
        <v>0.0190555555555556</v>
      </c>
      <c r="D80" s="105">
        <f t="shared" si="1"/>
        <v>30.86</v>
      </c>
    </row>
    <row r="81" ht="28.8" spans="1:4">
      <c r="A81" s="98" t="s">
        <v>53</v>
      </c>
      <c r="B81" s="123" t="s">
        <v>213</v>
      </c>
      <c r="C81" s="124">
        <f>C55</f>
        <v>0.398</v>
      </c>
      <c r="D81" s="120">
        <f>TRUNC(($D$80*C81),2)</f>
        <v>12.28</v>
      </c>
    </row>
    <row r="82" ht="28.8" spans="1:4">
      <c r="A82" s="98" t="s">
        <v>55</v>
      </c>
      <c r="B82" s="123" t="s">
        <v>115</v>
      </c>
      <c r="C82" s="124">
        <f>(0.08*0.4*0.98)</f>
        <v>0.03136</v>
      </c>
      <c r="D82" s="120">
        <f>TRUNC(($D$31*C82),2)</f>
        <v>50.79</v>
      </c>
    </row>
    <row r="83" spans="1:4">
      <c r="A83" s="98" t="s">
        <v>58</v>
      </c>
      <c r="C83" s="122">
        <f>SUM(C77:C82)</f>
        <v>0.530722222222222</v>
      </c>
      <c r="D83" s="105">
        <f>TRUNC((SUM(D77:D82)),2)</f>
        <v>97.86</v>
      </c>
    </row>
    <row r="84" ht="15.15" spans="1:4">
      <c r="A84" s="98"/>
      <c r="D84" s="105"/>
    </row>
    <row r="85" ht="15.9" spans="1:4">
      <c r="A85" s="107" t="s">
        <v>214</v>
      </c>
      <c r="B85" s="107"/>
      <c r="C85" s="112" t="s">
        <v>205</v>
      </c>
      <c r="D85" s="113">
        <f>D31</f>
        <v>1619.68</v>
      </c>
    </row>
    <row r="86" ht="15.9" spans="1:4">
      <c r="A86" s="107"/>
      <c r="B86" s="107"/>
      <c r="C86" s="114" t="s">
        <v>215</v>
      </c>
      <c r="D86" s="113">
        <f>D73</f>
        <v>1517.86</v>
      </c>
    </row>
    <row r="87" ht="15.9" spans="1:4">
      <c r="A87" s="107"/>
      <c r="B87" s="107"/>
      <c r="C87" s="112" t="s">
        <v>216</v>
      </c>
      <c r="D87" s="113">
        <f>D83</f>
        <v>97.86</v>
      </c>
    </row>
    <row r="88" ht="15.9" spans="1:4">
      <c r="A88" s="107"/>
      <c r="B88" s="107"/>
      <c r="C88" s="114" t="s">
        <v>207</v>
      </c>
      <c r="D88" s="115">
        <f>TRUNC((SUM(D85:D87)),2)</f>
        <v>3235.4</v>
      </c>
    </row>
    <row r="89" ht="15.15" spans="1:4">
      <c r="A89" s="98"/>
      <c r="D89" s="105"/>
    </row>
    <row r="90" spans="1:4">
      <c r="A90" s="125" t="s">
        <v>127</v>
      </c>
      <c r="B90" s="126"/>
      <c r="C90" s="126"/>
      <c r="D90" s="126"/>
    </row>
    <row r="91" spans="1:4">
      <c r="A91" s="109" t="s">
        <v>128</v>
      </c>
      <c r="B91" s="97"/>
      <c r="C91" s="97"/>
      <c r="D91" s="97"/>
    </row>
    <row r="92" spans="1:4">
      <c r="A92" s="98" t="s">
        <v>129</v>
      </c>
      <c r="B92" s="22" t="s">
        <v>130</v>
      </c>
      <c r="C92" s="99" t="s">
        <v>38</v>
      </c>
      <c r="D92" s="99" t="s">
        <v>19</v>
      </c>
    </row>
    <row r="93" spans="1:4">
      <c r="A93" s="98" t="s">
        <v>42</v>
      </c>
      <c r="B93" t="s">
        <v>132</v>
      </c>
      <c r="C93" s="122">
        <f>(((1+1/3)/12)/12)+((1/12)/12)</f>
        <v>0.0162037037037037</v>
      </c>
      <c r="D93" s="105">
        <f t="shared" ref="D93:D97" si="2">TRUNC(($D$88*C93),2)</f>
        <v>52.42</v>
      </c>
    </row>
    <row r="94" spans="1:4">
      <c r="A94" s="98" t="s">
        <v>45</v>
      </c>
      <c r="B94" t="s">
        <v>133</v>
      </c>
      <c r="C94" s="117">
        <f>((5/30)/12)</f>
        <v>0.0138888888888889</v>
      </c>
      <c r="D94" s="120">
        <f t="shared" si="2"/>
        <v>44.93</v>
      </c>
    </row>
    <row r="95" spans="1:4">
      <c r="A95" s="98" t="s">
        <v>48</v>
      </c>
      <c r="B95" t="s">
        <v>134</v>
      </c>
      <c r="C95" s="117">
        <f>((5/30)/12)*0.02</f>
        <v>0.000277777777777778</v>
      </c>
      <c r="D95" s="120">
        <f t="shared" si="2"/>
        <v>0.89</v>
      </c>
    </row>
    <row r="96" spans="1:4">
      <c r="A96" s="98" t="s">
        <v>50</v>
      </c>
      <c r="B96" s="123" t="s">
        <v>135</v>
      </c>
      <c r="C96" s="124">
        <f>((15/30)/12)*0.08</f>
        <v>0.00333333333333333</v>
      </c>
      <c r="D96" s="120">
        <f t="shared" si="2"/>
        <v>10.78</v>
      </c>
    </row>
    <row r="97" spans="1:4">
      <c r="A97" s="98" t="s">
        <v>53</v>
      </c>
      <c r="B97" t="s">
        <v>136</v>
      </c>
      <c r="C97" s="117">
        <f>((1+1/3)/12)*0.00001*((4/12))</f>
        <v>3.7037037037037e-7</v>
      </c>
      <c r="D97" s="120">
        <f t="shared" si="2"/>
        <v>0</v>
      </c>
    </row>
    <row r="98" spans="1:4">
      <c r="A98" s="98" t="s">
        <v>55</v>
      </c>
      <c r="B98" s="123" t="s">
        <v>217</v>
      </c>
      <c r="C98" s="127">
        <v>0</v>
      </c>
      <c r="D98" s="120">
        <f>TRUNC($D$88*C98)</f>
        <v>0</v>
      </c>
    </row>
    <row r="99" spans="1:4">
      <c r="A99" s="98" t="s">
        <v>58</v>
      </c>
      <c r="C99" s="122">
        <f>SUBTOTAL(109,Submódulo4.159_54[Percentual])</f>
        <v>0.0337040740740741</v>
      </c>
      <c r="D99" s="105">
        <f>TRUNC((SUM(D93:D98)),2)</f>
        <v>109.02</v>
      </c>
    </row>
    <row r="100" spans="1:4">
      <c r="A100" s="98"/>
      <c r="C100" s="99"/>
      <c r="D100" s="105"/>
    </row>
    <row r="101" spans="1:4">
      <c r="A101" s="109" t="s">
        <v>144</v>
      </c>
      <c r="B101" s="97"/>
      <c r="C101" s="97"/>
      <c r="D101" s="97"/>
    </row>
    <row r="102" spans="1:4">
      <c r="A102" s="98" t="s">
        <v>145</v>
      </c>
      <c r="B102" s="22" t="s">
        <v>146</v>
      </c>
      <c r="C102" s="99" t="s">
        <v>18</v>
      </c>
      <c r="D102" s="99" t="s">
        <v>19</v>
      </c>
    </row>
    <row r="103" ht="72" spans="1:4">
      <c r="A103" s="98" t="s">
        <v>42</v>
      </c>
      <c r="B103" s="128" t="s">
        <v>147</v>
      </c>
      <c r="C103" s="129" t="s">
        <v>218</v>
      </c>
      <c r="D103" s="130" t="s">
        <v>219</v>
      </c>
    </row>
    <row r="104" spans="1:4">
      <c r="A104" s="98" t="s">
        <v>58</v>
      </c>
      <c r="C104" s="99"/>
      <c r="D104" s="132" t="str">
        <f>D103</f>
        <v>*=TRUNCAR(($D$86/220)*(1*(365/12))/2)</v>
      </c>
    </row>
    <row r="106" spans="1:4">
      <c r="A106" s="109" t="s">
        <v>148</v>
      </c>
      <c r="B106" s="97"/>
      <c r="C106" s="97"/>
      <c r="D106" s="97"/>
    </row>
    <row r="107" spans="1:4">
      <c r="A107" s="98" t="s">
        <v>149</v>
      </c>
      <c r="B107" s="22" t="s">
        <v>150</v>
      </c>
      <c r="C107" s="99" t="s">
        <v>18</v>
      </c>
      <c r="D107" s="99" t="s">
        <v>19</v>
      </c>
    </row>
    <row r="108" spans="1:4">
      <c r="A108" s="98" t="s">
        <v>129</v>
      </c>
      <c r="B108" t="s">
        <v>130</v>
      </c>
      <c r="D108" s="101">
        <f>D99</f>
        <v>109.02</v>
      </c>
    </row>
    <row r="109" spans="1:4">
      <c r="A109" s="98" t="s">
        <v>145</v>
      </c>
      <c r="B109" t="s">
        <v>151</v>
      </c>
      <c r="C109" s="22"/>
      <c r="D109" s="133" t="str">
        <f>Submódulo4.260_55[[#Totals],[Valor]]</f>
        <v>*=TRUNCAR(($D$86/220)*(1*(365/12))/2)</v>
      </c>
    </row>
    <row r="110" ht="43.2" spans="1:4">
      <c r="A110" s="98" t="s">
        <v>58</v>
      </c>
      <c r="B110" s="119"/>
      <c r="C110" s="129" t="s">
        <v>220</v>
      </c>
      <c r="D110" s="134">
        <f>TRUNC((SUM(D108:D109)),2)</f>
        <v>109.02</v>
      </c>
    </row>
    <row r="112" spans="1:4">
      <c r="A112" s="76" t="s">
        <v>152</v>
      </c>
      <c r="B112" s="77"/>
      <c r="C112" s="77"/>
      <c r="D112" s="77"/>
    </row>
    <row r="113" ht="29.55" spans="1:9">
      <c r="A113" s="98" t="s">
        <v>153</v>
      </c>
      <c r="B113" s="119" t="s">
        <v>154</v>
      </c>
      <c r="C113" s="98" t="s">
        <v>18</v>
      </c>
      <c r="D113" s="98" t="s">
        <v>19</v>
      </c>
      <c r="F113" s="135" t="s">
        <v>221</v>
      </c>
      <c r="G113" s="136" t="s">
        <v>222</v>
      </c>
      <c r="H113" s="136" t="s">
        <v>223</v>
      </c>
      <c r="I113" s="136" t="s">
        <v>224</v>
      </c>
    </row>
    <row r="114" ht="15.9" spans="1:9">
      <c r="A114" s="98" t="s">
        <v>42</v>
      </c>
      <c r="B114" t="s">
        <v>225</v>
      </c>
      <c r="D114" s="137">
        <f>'Uniformes e EPI'!G63</f>
        <v>96.49</v>
      </c>
      <c r="F114" s="138" t="s">
        <v>226</v>
      </c>
      <c r="G114" s="139">
        <v>0</v>
      </c>
      <c r="H114" s="140">
        <v>70</v>
      </c>
      <c r="I114" s="140">
        <f>TRUNC(H114*G114,2)</f>
        <v>0</v>
      </c>
    </row>
    <row r="115" ht="15.9" spans="1:9">
      <c r="A115" s="98" t="s">
        <v>45</v>
      </c>
      <c r="B115" t="s">
        <v>227</v>
      </c>
      <c r="D115" s="137">
        <f>EPC!E21</f>
        <v>24.5</v>
      </c>
      <c r="F115" s="141" t="s">
        <v>228</v>
      </c>
      <c r="G115" s="142">
        <v>0</v>
      </c>
      <c r="H115" s="143">
        <v>35</v>
      </c>
      <c r="I115" s="140">
        <f>TRUNC(H115*G115,2)</f>
        <v>0</v>
      </c>
    </row>
    <row r="116" ht="15.15" spans="1:9">
      <c r="A116" s="98" t="s">
        <v>48</v>
      </c>
      <c r="B116" t="s">
        <v>156</v>
      </c>
      <c r="D116" s="137">
        <f>'Equipamentos e Materiais'!E101</f>
        <v>215.12</v>
      </c>
      <c r="F116" s="144" t="s">
        <v>207</v>
      </c>
      <c r="G116" s="145"/>
      <c r="H116" s="146">
        <f>TRUNC(SUM(I114:I115),2)</f>
        <v>0</v>
      </c>
      <c r="I116" s="149"/>
    </row>
    <row r="117" spans="1:9">
      <c r="A117" s="98" t="s">
        <v>50</v>
      </c>
      <c r="B117" t="s">
        <v>157</v>
      </c>
      <c r="D117" s="137">
        <f>'Equipamentos e Materiais'!F132</f>
        <v>15.37</v>
      </c>
      <c r="F117" s="144" t="s">
        <v>229</v>
      </c>
      <c r="G117" s="145"/>
      <c r="H117" s="146">
        <f>TRUNC(H116/12,2)</f>
        <v>0</v>
      </c>
      <c r="I117" s="149"/>
    </row>
    <row r="118" spans="1:9">
      <c r="A118" s="98" t="s">
        <v>53</v>
      </c>
      <c r="B118" t="s">
        <v>230</v>
      </c>
      <c r="D118" s="137">
        <f>H117</f>
        <v>0</v>
      </c>
      <c r="F118" s="147" t="s">
        <v>232</v>
      </c>
      <c r="G118" s="147"/>
      <c r="H118" s="147"/>
      <c r="I118" s="147"/>
    </row>
    <row r="119" spans="1:9">
      <c r="A119" s="98" t="s">
        <v>58</v>
      </c>
      <c r="D119" s="148">
        <f>TRUNC(SUM(D114:D118),2)</f>
        <v>351.48</v>
      </c>
      <c r="F119" s="147"/>
      <c r="G119" s="147"/>
      <c r="H119" s="147"/>
      <c r="I119" s="147"/>
    </row>
    <row r="120" ht="15.15"/>
    <row r="121" ht="15.9" spans="1:4">
      <c r="A121" s="107" t="s">
        <v>233</v>
      </c>
      <c r="B121" s="107"/>
      <c r="C121" s="112" t="s">
        <v>205</v>
      </c>
      <c r="D121" s="113">
        <f>D31</f>
        <v>1619.68</v>
      </c>
    </row>
    <row r="122" ht="15.9" spans="1:4">
      <c r="A122" s="107"/>
      <c r="B122" s="107"/>
      <c r="C122" s="114" t="s">
        <v>215</v>
      </c>
      <c r="D122" s="113">
        <f>D73</f>
        <v>1517.86</v>
      </c>
    </row>
    <row r="123" ht="15.9" spans="1:4">
      <c r="A123" s="107"/>
      <c r="B123" s="107"/>
      <c r="C123" s="112" t="s">
        <v>216</v>
      </c>
      <c r="D123" s="113">
        <f>D83</f>
        <v>97.86</v>
      </c>
    </row>
    <row r="124" ht="15.9" spans="1:4">
      <c r="A124" s="107"/>
      <c r="B124" s="107"/>
      <c r="C124" s="114" t="s">
        <v>234</v>
      </c>
      <c r="D124" s="113">
        <f>D110</f>
        <v>109.02</v>
      </c>
    </row>
    <row r="125" ht="15.9" spans="1:4">
      <c r="A125" s="107"/>
      <c r="B125" s="107"/>
      <c r="C125" s="112" t="s">
        <v>235</v>
      </c>
      <c r="D125" s="113">
        <f>D119</f>
        <v>351.48</v>
      </c>
    </row>
    <row r="126" ht="15.9" spans="1:4">
      <c r="A126" s="107"/>
      <c r="B126" s="107"/>
      <c r="C126" s="114" t="s">
        <v>207</v>
      </c>
      <c r="D126" s="115">
        <f>TRUNC((SUM(D121:D125)),2)</f>
        <v>3695.9</v>
      </c>
    </row>
    <row r="127" ht="15.15"/>
    <row r="128" spans="1:4">
      <c r="A128" s="76" t="s">
        <v>164</v>
      </c>
      <c r="B128" s="77"/>
      <c r="C128" s="77"/>
      <c r="D128" s="77"/>
    </row>
    <row r="129" ht="15.15" spans="1:7">
      <c r="A129" s="98" t="s">
        <v>165</v>
      </c>
      <c r="B129" t="s">
        <v>166</v>
      </c>
      <c r="C129" s="99" t="s">
        <v>38</v>
      </c>
      <c r="D129" s="99" t="s">
        <v>19</v>
      </c>
      <c r="F129" s="135" t="s">
        <v>236</v>
      </c>
      <c r="G129" s="135"/>
    </row>
    <row r="130" ht="15.15" spans="1:7">
      <c r="A130" s="98" t="s">
        <v>42</v>
      </c>
      <c r="B130" t="s">
        <v>167</v>
      </c>
      <c r="C130" s="117">
        <v>0.04</v>
      </c>
      <c r="D130" s="101">
        <f>TRUNC(($D$126*C130),2)</f>
        <v>147.83</v>
      </c>
      <c r="F130" s="138" t="s">
        <v>237</v>
      </c>
      <c r="G130" s="124">
        <f>C132</f>
        <v>0.0865</v>
      </c>
    </row>
    <row r="131" ht="15.15" spans="1:7">
      <c r="A131" s="98" t="s">
        <v>45</v>
      </c>
      <c r="B131" t="s">
        <v>59</v>
      </c>
      <c r="C131" s="117">
        <v>0.05</v>
      </c>
      <c r="D131" s="101">
        <f>TRUNC((C131*(D126+D130)),2)</f>
        <v>192.18</v>
      </c>
      <c r="F131" s="150" t="s">
        <v>238</v>
      </c>
      <c r="G131" s="151">
        <f>TRUNC(SUM(D126,D130,D131),2)</f>
        <v>4035.91</v>
      </c>
    </row>
    <row r="132" ht="15.15" spans="1:7">
      <c r="A132" s="98" t="s">
        <v>48</v>
      </c>
      <c r="B132" t="s">
        <v>168</v>
      </c>
      <c r="C132" s="117">
        <f>SUM(C133:C135)</f>
        <v>0.0865</v>
      </c>
      <c r="D132" s="101">
        <f>TRUNC((SUM(D133:D135)),2)</f>
        <v>382.15</v>
      </c>
      <c r="F132" s="138" t="s">
        <v>239</v>
      </c>
      <c r="G132" s="152">
        <f>(100-8.65)/100</f>
        <v>0.9135</v>
      </c>
    </row>
    <row r="133" ht="15.15" spans="1:7">
      <c r="A133" s="98"/>
      <c r="B133" t="s">
        <v>240</v>
      </c>
      <c r="C133" s="117">
        <v>0.0065</v>
      </c>
      <c r="D133" s="101">
        <f t="shared" ref="D133:D135" si="3">TRUNC(($G$133*C133),2)</f>
        <v>28.71</v>
      </c>
      <c r="F133" s="150" t="s">
        <v>236</v>
      </c>
      <c r="G133" s="151">
        <f>TRUNC((G131/G132),2)</f>
        <v>4418.07</v>
      </c>
    </row>
    <row r="134" ht="15.15" spans="1:4">
      <c r="A134" s="98"/>
      <c r="B134" t="s">
        <v>241</v>
      </c>
      <c r="C134" s="117">
        <v>0.03</v>
      </c>
      <c r="D134" s="101">
        <f t="shared" si="3"/>
        <v>132.54</v>
      </c>
    </row>
    <row r="135" spans="1:4">
      <c r="A135" s="98"/>
      <c r="B135" t="s">
        <v>242</v>
      </c>
      <c r="C135" s="117">
        <v>0.05</v>
      </c>
      <c r="D135" s="101">
        <f t="shared" si="3"/>
        <v>220.9</v>
      </c>
    </row>
    <row r="136" spans="1:4">
      <c r="A136" s="98" t="s">
        <v>58</v>
      </c>
      <c r="C136" s="153"/>
      <c r="D136" s="105">
        <f>TRUNC(SUM(D130:D132),2)</f>
        <v>722.16</v>
      </c>
    </row>
    <row r="137" spans="1:4">
      <c r="A137" s="98"/>
      <c r="C137" s="153"/>
      <c r="D137" s="105"/>
    </row>
    <row r="139" spans="1:4">
      <c r="A139" s="76" t="s">
        <v>172</v>
      </c>
      <c r="B139" s="77"/>
      <c r="C139" s="77"/>
      <c r="D139" s="77"/>
    </row>
    <row r="140" spans="1:4">
      <c r="A140" s="98" t="s">
        <v>16</v>
      </c>
      <c r="B140" s="99" t="s">
        <v>173</v>
      </c>
      <c r="C140" s="99" t="s">
        <v>102</v>
      </c>
      <c r="D140" s="99" t="s">
        <v>19</v>
      </c>
    </row>
    <row r="141" spans="1:4">
      <c r="A141" s="98" t="s">
        <v>42</v>
      </c>
      <c r="B141" t="s">
        <v>36</v>
      </c>
      <c r="D141" s="105">
        <f>D31</f>
        <v>1619.68</v>
      </c>
    </row>
    <row r="142" spans="1:4">
      <c r="A142" s="98" t="s">
        <v>45</v>
      </c>
      <c r="B142" t="s">
        <v>61</v>
      </c>
      <c r="D142" s="105">
        <f>D73</f>
        <v>1517.86</v>
      </c>
    </row>
    <row r="143" spans="1:4">
      <c r="A143" s="98" t="s">
        <v>48</v>
      </c>
      <c r="B143" t="s">
        <v>108</v>
      </c>
      <c r="D143" s="105">
        <f>D83</f>
        <v>97.86</v>
      </c>
    </row>
    <row r="144" spans="1:4">
      <c r="A144" s="98" t="s">
        <v>50</v>
      </c>
      <c r="B144" t="s">
        <v>174</v>
      </c>
      <c r="D144" s="105">
        <f>D110</f>
        <v>109.02</v>
      </c>
    </row>
    <row r="145" spans="1:4">
      <c r="A145" s="98" t="s">
        <v>53</v>
      </c>
      <c r="B145" t="s">
        <v>152</v>
      </c>
      <c r="D145" s="105">
        <f>D119</f>
        <v>351.48</v>
      </c>
    </row>
    <row r="146" spans="2:4">
      <c r="B146" s="154" t="s">
        <v>243</v>
      </c>
      <c r="D146" s="105">
        <f>TRUNC(SUM(D141:D145),2)</f>
        <v>3695.9</v>
      </c>
    </row>
    <row r="147" spans="1:4">
      <c r="A147" s="98" t="s">
        <v>55</v>
      </c>
      <c r="B147" t="s">
        <v>164</v>
      </c>
      <c r="D147" s="105">
        <f>D136</f>
        <v>722.16</v>
      </c>
    </row>
    <row r="148" spans="1:4">
      <c r="A148" s="155"/>
      <c r="B148" s="156" t="s">
        <v>244</v>
      </c>
      <c r="C148" s="157"/>
      <c r="D148" s="158">
        <f>TRUNC((SUM(D141:D145)+D147),2)</f>
        <v>4418.06</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124" workbookViewId="0">
      <selection activeCell="C25" sqref="C25"/>
    </sheetView>
  </sheetViews>
  <sheetFormatPr defaultColWidth="9.13888888888889" defaultRowHeight="14.4"/>
  <cols>
    <col min="1" max="1" width="10.5740740740741" style="52" customWidth="1"/>
    <col min="2" max="2" width="54" customWidth="1"/>
    <col min="3" max="3" width="28.712962962963" customWidth="1"/>
    <col min="4" max="4" width="36.5740740740741" customWidth="1"/>
    <col min="6" max="6" width="22.8611111111111" customWidth="1"/>
    <col min="7" max="7" width="12.8611111111111" customWidth="1"/>
    <col min="8" max="8" width="10" customWidth="1"/>
    <col min="9" max="9" width="11.4259259259259" customWidth="1"/>
  </cols>
  <sheetData>
    <row r="2" ht="18.75" spans="1:4">
      <c r="A2" s="67" t="s">
        <v>177</v>
      </c>
      <c r="B2" s="68"/>
      <c r="C2" s="68"/>
      <c r="D2" s="68"/>
    </row>
    <row r="3" ht="15.15" spans="1:4">
      <c r="A3" s="69" t="s">
        <v>178</v>
      </c>
      <c r="B3" s="70"/>
      <c r="C3" s="70"/>
      <c r="D3" s="70"/>
    </row>
    <row r="4" spans="1:4">
      <c r="A4" s="71" t="s">
        <v>179</v>
      </c>
      <c r="B4" s="72" t="s">
        <v>245</v>
      </c>
      <c r="C4" s="73"/>
      <c r="D4" s="73"/>
    </row>
    <row r="5" spans="1:4">
      <c r="A5" s="74"/>
      <c r="B5" s="75"/>
      <c r="C5" s="75"/>
      <c r="D5" s="75"/>
    </row>
    <row r="6" ht="15.15" spans="1:4">
      <c r="A6" s="76" t="s">
        <v>181</v>
      </c>
      <c r="B6" s="77"/>
      <c r="C6" s="77"/>
      <c r="D6" s="77"/>
    </row>
    <row r="7" ht="15.15" spans="1:4">
      <c r="A7" s="78" t="s">
        <v>42</v>
      </c>
      <c r="B7" s="79" t="s">
        <v>182</v>
      </c>
      <c r="C7" s="80" t="s">
        <v>183</v>
      </c>
      <c r="D7" s="80"/>
    </row>
    <row r="8" spans="1:4">
      <c r="A8" s="81" t="s">
        <v>45</v>
      </c>
      <c r="B8" s="82" t="s">
        <v>184</v>
      </c>
      <c r="C8" s="83" t="s">
        <v>185</v>
      </c>
      <c r="D8" s="83"/>
    </row>
    <row r="9" spans="1:4">
      <c r="A9" s="84" t="s">
        <v>48</v>
      </c>
      <c r="B9" s="85" t="s">
        <v>186</v>
      </c>
      <c r="C9" s="83" t="s">
        <v>187</v>
      </c>
      <c r="D9" s="83"/>
    </row>
    <row r="10" spans="1:4">
      <c r="A10" s="81" t="s">
        <v>53</v>
      </c>
      <c r="B10" s="82" t="s">
        <v>188</v>
      </c>
      <c r="C10" s="83" t="s">
        <v>189</v>
      </c>
      <c r="D10" s="83"/>
    </row>
    <row r="11" ht="15.15" spans="1:4">
      <c r="A11" s="86" t="s">
        <v>190</v>
      </c>
      <c r="B11" s="87"/>
      <c r="C11" s="87"/>
      <c r="D11" s="87"/>
    </row>
    <row r="12" ht="15.9" spans="1:4">
      <c r="A12" s="88" t="s">
        <v>191</v>
      </c>
      <c r="B12" s="89"/>
      <c r="C12" s="87" t="s">
        <v>192</v>
      </c>
      <c r="D12" s="90" t="s">
        <v>193</v>
      </c>
    </row>
    <row r="13" ht="15.15" spans="1:4">
      <c r="A13" s="91" t="s">
        <v>251</v>
      </c>
      <c r="B13" s="92"/>
      <c r="C13" s="83" t="s">
        <v>195</v>
      </c>
      <c r="D13" s="93">
        <f>RESUMO!D6</f>
        <v>1</v>
      </c>
    </row>
    <row r="14" spans="1:4">
      <c r="A14" s="94"/>
      <c r="B14" s="95"/>
      <c r="C14" s="83"/>
      <c r="D14" s="96"/>
    </row>
    <row r="15" ht="15.15" spans="1:7">
      <c r="A15" s="86" t="s">
        <v>14</v>
      </c>
      <c r="B15" s="87"/>
      <c r="C15" s="87"/>
      <c r="D15" s="87"/>
      <c r="F15" s="97"/>
      <c r="G15" s="97"/>
    </row>
    <row r="16" ht="15.15" spans="1:4">
      <c r="A16" s="98" t="s">
        <v>16</v>
      </c>
      <c r="B16" t="s">
        <v>17</v>
      </c>
      <c r="C16" s="99" t="s">
        <v>18</v>
      </c>
      <c r="D16" s="99" t="s">
        <v>19</v>
      </c>
    </row>
    <row r="17" spans="1:4">
      <c r="A17" s="98">
        <v>1</v>
      </c>
      <c r="B17" t="s">
        <v>20</v>
      </c>
      <c r="C17" s="100" t="s">
        <v>102</v>
      </c>
      <c r="D17" s="100" t="str">
        <f>A13</f>
        <v>Técnico Mecânico em Refrigeração</v>
      </c>
    </row>
    <row r="18" spans="1:4">
      <c r="A18" s="98">
        <v>2</v>
      </c>
      <c r="B18" t="s">
        <v>23</v>
      </c>
      <c r="C18" s="100" t="s">
        <v>196</v>
      </c>
      <c r="D18" s="100" t="s">
        <v>252</v>
      </c>
    </row>
    <row r="19" spans="1:4">
      <c r="A19" s="98">
        <v>3</v>
      </c>
      <c r="B19" t="s">
        <v>26</v>
      </c>
      <c r="C19" s="100" t="str">
        <f>C9</f>
        <v>CCT PB000517/2021</v>
      </c>
      <c r="D19" s="101">
        <v>1619.68</v>
      </c>
    </row>
    <row r="20" spans="1:4">
      <c r="A20" s="98">
        <v>4</v>
      </c>
      <c r="B20" t="s">
        <v>29</v>
      </c>
      <c r="C20" s="100" t="str">
        <f>C9</f>
        <v>CCT PB000517/2021</v>
      </c>
      <c r="D20" s="102" t="s">
        <v>198</v>
      </c>
    </row>
    <row r="21" spans="1:4">
      <c r="A21" s="98">
        <v>5</v>
      </c>
      <c r="B21" t="s">
        <v>33</v>
      </c>
      <c r="C21" s="100" t="str">
        <f>C9</f>
        <v>CCT PB000517/2021</v>
      </c>
      <c r="D21" s="103" t="s">
        <v>199</v>
      </c>
    </row>
    <row r="22" spans="6:7">
      <c r="F22" s="97"/>
      <c r="G22" s="97"/>
    </row>
    <row r="23" spans="1:4">
      <c r="A23" s="76" t="s">
        <v>36</v>
      </c>
      <c r="B23" s="77"/>
      <c r="C23" s="77"/>
      <c r="D23" s="77"/>
    </row>
    <row r="24" spans="1:7">
      <c r="A24" s="98" t="s">
        <v>39</v>
      </c>
      <c r="B24" s="22" t="s">
        <v>40</v>
      </c>
      <c r="C24" s="99" t="s">
        <v>18</v>
      </c>
      <c r="D24" s="99" t="s">
        <v>19</v>
      </c>
      <c r="G24" s="104"/>
    </row>
    <row r="25" spans="1:7">
      <c r="A25" s="98" t="s">
        <v>42</v>
      </c>
      <c r="B25" t="s">
        <v>43</v>
      </c>
      <c r="C25" s="102" t="s">
        <v>200</v>
      </c>
      <c r="D25" s="101">
        <f>D19</f>
        <v>1619.68</v>
      </c>
      <c r="G25" s="104"/>
    </row>
    <row r="26" spans="1:7">
      <c r="A26" s="98" t="s">
        <v>45</v>
      </c>
      <c r="B26" t="s">
        <v>201</v>
      </c>
      <c r="C26" s="102"/>
      <c r="D26" s="101">
        <v>0</v>
      </c>
      <c r="G26" s="104"/>
    </row>
    <row r="27" spans="1:4">
      <c r="A27" s="98" t="s">
        <v>48</v>
      </c>
      <c r="B27" t="s">
        <v>202</v>
      </c>
      <c r="C27" s="102"/>
      <c r="D27" s="101">
        <v>0</v>
      </c>
    </row>
    <row r="28" spans="1:4">
      <c r="A28" s="98" t="s">
        <v>50</v>
      </c>
      <c r="B28" t="s">
        <v>51</v>
      </c>
      <c r="C28" s="102"/>
      <c r="D28" s="101">
        <v>0</v>
      </c>
    </row>
    <row r="29" spans="1:4">
      <c r="A29" s="98" t="s">
        <v>53</v>
      </c>
      <c r="B29" t="s">
        <v>54</v>
      </c>
      <c r="C29" s="102"/>
      <c r="D29" s="101">
        <v>0</v>
      </c>
    </row>
    <row r="30" spans="1:4">
      <c r="A30" s="98" t="s">
        <v>55</v>
      </c>
      <c r="B30" t="s">
        <v>56</v>
      </c>
      <c r="C30" s="102"/>
      <c r="D30" s="101">
        <v>0</v>
      </c>
    </row>
    <row r="31" spans="1:7">
      <c r="A31" s="98" t="s">
        <v>58</v>
      </c>
      <c r="C31" s="99"/>
      <c r="D31" s="105">
        <f>TRUNC((SUM(D25:D30)),2)</f>
        <v>1619.68</v>
      </c>
      <c r="F31" s="97"/>
      <c r="G31" s="97"/>
    </row>
    <row r="32" spans="2:2">
      <c r="B32" s="106" t="s">
        <v>203</v>
      </c>
    </row>
    <row r="33" spans="1:7">
      <c r="A33" s="107" t="s">
        <v>61</v>
      </c>
      <c r="B33" s="108"/>
      <c r="C33" s="108"/>
      <c r="D33" s="108"/>
      <c r="G33" s="104"/>
    </row>
    <row r="35" spans="1:4">
      <c r="A35" s="109" t="s">
        <v>63</v>
      </c>
      <c r="B35" s="97"/>
      <c r="C35" s="97"/>
      <c r="D35" s="97"/>
    </row>
    <row r="36" spans="1:4">
      <c r="A36" s="98" t="s">
        <v>65</v>
      </c>
      <c r="B36" s="22" t="s">
        <v>66</v>
      </c>
      <c r="C36" s="99" t="s">
        <v>38</v>
      </c>
      <c r="D36" s="99" t="s">
        <v>19</v>
      </c>
    </row>
    <row r="37" spans="1:7">
      <c r="A37" s="98" t="s">
        <v>42</v>
      </c>
      <c r="B37" t="s">
        <v>67</v>
      </c>
      <c r="C37" s="110">
        <f>(1/12)</f>
        <v>0.0833333333333333</v>
      </c>
      <c r="D37" s="105">
        <f>TRUNC($D$31*C37,2)</f>
        <v>134.97</v>
      </c>
      <c r="F37" s="111"/>
      <c r="G37" s="111"/>
    </row>
    <row r="38" spans="1:7">
      <c r="A38" s="98" t="s">
        <v>45</v>
      </c>
      <c r="B38" t="s">
        <v>68</v>
      </c>
      <c r="C38" s="110">
        <f>(((1+1/3)/12))</f>
        <v>0.111111111111111</v>
      </c>
      <c r="D38" s="105">
        <f>TRUNC($D$31*C38,2)</f>
        <v>179.96</v>
      </c>
      <c r="F38" s="111"/>
      <c r="G38" s="111"/>
    </row>
    <row r="39" spans="1:7">
      <c r="A39" s="98" t="s">
        <v>58</v>
      </c>
      <c r="D39" s="105">
        <f>TRUNC((SUM(D37:D38)),2)</f>
        <v>314.93</v>
      </c>
      <c r="F39" s="111"/>
      <c r="G39" s="111"/>
    </row>
    <row r="40" ht="15.15" spans="4:7">
      <c r="D40" s="105"/>
      <c r="F40" s="111"/>
      <c r="G40" s="111"/>
    </row>
    <row r="41" ht="15.9" spans="1:7">
      <c r="A41" s="107" t="s">
        <v>204</v>
      </c>
      <c r="B41" s="107"/>
      <c r="C41" s="112" t="s">
        <v>205</v>
      </c>
      <c r="D41" s="113">
        <f>D31</f>
        <v>1619.68</v>
      </c>
      <c r="F41" s="111"/>
      <c r="G41" s="111"/>
    </row>
    <row r="42" ht="15.9" spans="1:7">
      <c r="A42" s="107"/>
      <c r="B42" s="107"/>
      <c r="C42" s="114" t="s">
        <v>206</v>
      </c>
      <c r="D42" s="113">
        <f>D39</f>
        <v>314.93</v>
      </c>
      <c r="F42" s="111"/>
      <c r="G42" s="111"/>
    </row>
    <row r="43" ht="15.9" spans="1:7">
      <c r="A43" s="107"/>
      <c r="B43" s="107"/>
      <c r="C43" s="112" t="s">
        <v>207</v>
      </c>
      <c r="D43" s="115">
        <f>TRUNC((SUM(D41:D42)),2)</f>
        <v>1934.61</v>
      </c>
      <c r="F43" s="111"/>
      <c r="G43" s="111"/>
    </row>
    <row r="44" ht="15.15" spans="1:7">
      <c r="A44" s="98"/>
      <c r="C44" s="116"/>
      <c r="D44" s="105"/>
      <c r="F44" s="111"/>
      <c r="G44" s="111"/>
    </row>
    <row r="45" spans="1:4">
      <c r="A45" s="109" t="s">
        <v>77</v>
      </c>
      <c r="B45" s="97"/>
      <c r="C45" s="97"/>
      <c r="D45" s="97"/>
    </row>
    <row r="46" spans="1:4">
      <c r="A46" s="98" t="s">
        <v>78</v>
      </c>
      <c r="B46" s="22" t="s">
        <v>79</v>
      </c>
      <c r="C46" s="99" t="s">
        <v>38</v>
      </c>
      <c r="D46" s="99" t="s">
        <v>80</v>
      </c>
    </row>
    <row r="47" spans="1:4">
      <c r="A47" s="98" t="s">
        <v>42</v>
      </c>
      <c r="B47" t="s">
        <v>81</v>
      </c>
      <c r="C47" s="110">
        <v>0.2</v>
      </c>
      <c r="D47" s="105">
        <f t="shared" ref="D47:D54" si="0">TRUNC(($D$43*C47),2)</f>
        <v>386.92</v>
      </c>
    </row>
    <row r="48" spans="1:4">
      <c r="A48" s="98" t="s">
        <v>45</v>
      </c>
      <c r="B48" t="s">
        <v>82</v>
      </c>
      <c r="C48" s="110">
        <v>0.025</v>
      </c>
      <c r="D48" s="105">
        <f t="shared" si="0"/>
        <v>48.36</v>
      </c>
    </row>
    <row r="49" spans="1:4">
      <c r="A49" s="98" t="s">
        <v>48</v>
      </c>
      <c r="B49" t="s">
        <v>208</v>
      </c>
      <c r="C49" s="117">
        <v>0.06</v>
      </c>
      <c r="D49" s="101">
        <f t="shared" si="0"/>
        <v>116.07</v>
      </c>
    </row>
    <row r="50" spans="1:4">
      <c r="A50" s="98" t="s">
        <v>50</v>
      </c>
      <c r="B50" t="s">
        <v>84</v>
      </c>
      <c r="C50" s="110">
        <v>0.015</v>
      </c>
      <c r="D50" s="105">
        <f t="shared" si="0"/>
        <v>29.01</v>
      </c>
    </row>
    <row r="51" spans="1:4">
      <c r="A51" s="98" t="s">
        <v>53</v>
      </c>
      <c r="B51" t="s">
        <v>85</v>
      </c>
      <c r="C51" s="110">
        <v>0.01</v>
      </c>
      <c r="D51" s="105">
        <f t="shared" si="0"/>
        <v>19.34</v>
      </c>
    </row>
    <row r="52" spans="1:4">
      <c r="A52" s="98" t="s">
        <v>55</v>
      </c>
      <c r="B52" t="s">
        <v>86</v>
      </c>
      <c r="C52" s="110">
        <v>0.006</v>
      </c>
      <c r="D52" s="105">
        <f t="shared" si="0"/>
        <v>11.6</v>
      </c>
    </row>
    <row r="53" spans="1:4">
      <c r="A53" s="98" t="s">
        <v>87</v>
      </c>
      <c r="B53" t="s">
        <v>88</v>
      </c>
      <c r="C53" s="110">
        <v>0.002</v>
      </c>
      <c r="D53" s="105">
        <f t="shared" si="0"/>
        <v>3.86</v>
      </c>
    </row>
    <row r="54" spans="1:4">
      <c r="A54" s="98" t="s">
        <v>89</v>
      </c>
      <c r="B54" t="s">
        <v>90</v>
      </c>
      <c r="C54" s="110">
        <v>0.08</v>
      </c>
      <c r="D54" s="105">
        <f t="shared" si="0"/>
        <v>154.76</v>
      </c>
    </row>
    <row r="55" spans="1:4">
      <c r="A55" s="98" t="s">
        <v>58</v>
      </c>
      <c r="C55" s="116">
        <f>SUM(C47:C54)</f>
        <v>0.398</v>
      </c>
      <c r="D55" s="105">
        <f>TRUNC((SUM(D47:D54)),2)</f>
        <v>769.92</v>
      </c>
    </row>
    <row r="56" spans="1:4">
      <c r="A56" s="98"/>
      <c r="C56" s="116"/>
      <c r="D56" s="105"/>
    </row>
    <row r="57" spans="1:4">
      <c r="A57" s="109" t="s">
        <v>95</v>
      </c>
      <c r="B57" s="97"/>
      <c r="C57" s="97"/>
      <c r="D57" s="97"/>
    </row>
    <row r="58" spans="1:4">
      <c r="A58" s="98" t="s">
        <v>96</v>
      </c>
      <c r="B58" s="22" t="s">
        <v>97</v>
      </c>
      <c r="C58" s="99" t="s">
        <v>18</v>
      </c>
      <c r="D58" s="99" t="s">
        <v>19</v>
      </c>
    </row>
    <row r="59" spans="1:4">
      <c r="A59" s="98" t="s">
        <v>42</v>
      </c>
      <c r="B59" t="s">
        <v>98</v>
      </c>
      <c r="C59" s="100"/>
      <c r="D59" s="118">
        <v>0</v>
      </c>
    </row>
    <row r="60" spans="1:4">
      <c r="A60" s="98" t="s">
        <v>45</v>
      </c>
      <c r="B60" t="s">
        <v>99</v>
      </c>
      <c r="C60" s="100" t="str">
        <f>C9</f>
        <v>CCT PB000517/2021</v>
      </c>
      <c r="D60" s="101">
        <f>TRUNC((((22*20.91))-(((22*20.91))*0.2)),2)</f>
        <v>368.01</v>
      </c>
    </row>
    <row r="61" spans="1:4">
      <c r="A61" s="98" t="s">
        <v>48</v>
      </c>
      <c r="B61" t="s">
        <v>100</v>
      </c>
      <c r="C61" s="100"/>
      <c r="D61" s="101">
        <v>0</v>
      </c>
    </row>
    <row r="62" spans="1:6">
      <c r="A62" s="98" t="s">
        <v>50</v>
      </c>
      <c r="B62" s="119" t="s">
        <v>209</v>
      </c>
      <c r="C62" s="120"/>
      <c r="D62" s="120">
        <v>0</v>
      </c>
      <c r="F62" s="119"/>
    </row>
    <row r="63" spans="1:4">
      <c r="A63" s="98" t="s">
        <v>53</v>
      </c>
      <c r="B63" s="22" t="s">
        <v>210</v>
      </c>
      <c r="C63" s="100" t="str">
        <f>C60</f>
        <v>CCT PB000517/2021</v>
      </c>
      <c r="D63" s="101">
        <v>20</v>
      </c>
    </row>
    <row r="64" spans="1:4">
      <c r="A64" s="98" t="s">
        <v>55</v>
      </c>
      <c r="B64" s="121" t="s">
        <v>211</v>
      </c>
      <c r="C64" s="100" t="str">
        <f>C9</f>
        <v>CCT PB000517/2021</v>
      </c>
      <c r="D64" s="101">
        <v>5</v>
      </c>
    </row>
    <row r="65" spans="1:4">
      <c r="A65" s="98" t="s">
        <v>87</v>
      </c>
      <c r="B65" s="121" t="s">
        <v>212</v>
      </c>
      <c r="C65" s="120" t="str">
        <f>C60</f>
        <v>CCT PB000517/2021</v>
      </c>
      <c r="D65" s="101">
        <v>40</v>
      </c>
    </row>
    <row r="66" spans="1:4">
      <c r="A66" s="98" t="s">
        <v>58</v>
      </c>
      <c r="D66" s="105">
        <f>TRUNC((SUM(D59:D65)),2)</f>
        <v>433.01</v>
      </c>
    </row>
    <row r="67" spans="1:4">
      <c r="A67" s="98"/>
      <c r="D67" s="105"/>
    </row>
    <row r="68" spans="1:4">
      <c r="A68" s="109" t="s">
        <v>105</v>
      </c>
      <c r="B68" s="97"/>
      <c r="C68" s="97"/>
      <c r="D68" s="97"/>
    </row>
    <row r="69" spans="1:4">
      <c r="A69" s="98" t="s">
        <v>106</v>
      </c>
      <c r="B69" s="22" t="s">
        <v>107</v>
      </c>
      <c r="C69" s="99" t="s">
        <v>18</v>
      </c>
      <c r="D69" s="99" t="s">
        <v>19</v>
      </c>
    </row>
    <row r="70" spans="1:4">
      <c r="A70" s="98" t="s">
        <v>65</v>
      </c>
      <c r="B70" t="s">
        <v>66</v>
      </c>
      <c r="C70" s="99"/>
      <c r="D70" s="105">
        <f>D39</f>
        <v>314.93</v>
      </c>
    </row>
    <row r="71" spans="1:4">
      <c r="A71" s="98" t="s">
        <v>78</v>
      </c>
      <c r="B71" t="s">
        <v>79</v>
      </c>
      <c r="C71" s="99"/>
      <c r="D71" s="105">
        <f>D55</f>
        <v>769.92</v>
      </c>
    </row>
    <row r="72" spans="1:4">
      <c r="A72" s="98" t="s">
        <v>96</v>
      </c>
      <c r="B72" t="s">
        <v>97</v>
      </c>
      <c r="C72" s="99"/>
      <c r="D72" s="105">
        <f>D66</f>
        <v>433.01</v>
      </c>
    </row>
    <row r="73" spans="1:4">
      <c r="A73" s="98" t="s">
        <v>58</v>
      </c>
      <c r="C73" s="99"/>
      <c r="D73" s="105">
        <f>TRUNC((SUM(D70:D72)),2)</f>
        <v>1517.86</v>
      </c>
    </row>
    <row r="75" spans="1:4">
      <c r="A75" s="76" t="s">
        <v>108</v>
      </c>
      <c r="B75" s="77"/>
      <c r="C75" s="77"/>
      <c r="D75" s="77"/>
    </row>
    <row r="76" spans="1:4">
      <c r="A76" s="98" t="s">
        <v>109</v>
      </c>
      <c r="B76" s="160" t="s">
        <v>110</v>
      </c>
      <c r="C76" s="99" t="s">
        <v>38</v>
      </c>
      <c r="D76" s="99" t="s">
        <v>19</v>
      </c>
    </row>
    <row r="77" spans="1:4">
      <c r="A77" s="98" t="s">
        <v>42</v>
      </c>
      <c r="B77" s="161" t="s">
        <v>111</v>
      </c>
      <c r="C77" s="117">
        <f>((1/12)*2%)</f>
        <v>0.00166666666666667</v>
      </c>
      <c r="D77" s="101">
        <f t="shared" ref="D77:D80" si="1">TRUNC(($D$31*C77),2)</f>
        <v>2.69</v>
      </c>
    </row>
    <row r="78" spans="1:4">
      <c r="A78" s="98" t="s">
        <v>45</v>
      </c>
      <c r="B78" s="161" t="s">
        <v>112</v>
      </c>
      <c r="C78" s="122">
        <v>0.08</v>
      </c>
      <c r="D78" s="105">
        <f>TRUNC(($D$77*C78),2)</f>
        <v>0.21</v>
      </c>
    </row>
    <row r="79" ht="28.8" spans="1:4">
      <c r="A79" s="98" t="s">
        <v>48</v>
      </c>
      <c r="B79" s="162" t="s">
        <v>113</v>
      </c>
      <c r="C79" s="124">
        <f>(0.08*0.4*0.02)</f>
        <v>0.00064</v>
      </c>
      <c r="D79" s="120">
        <f t="shared" si="1"/>
        <v>1.03</v>
      </c>
    </row>
    <row r="80" spans="1:4">
      <c r="A80" s="98" t="s">
        <v>50</v>
      </c>
      <c r="B80" s="161" t="s">
        <v>114</v>
      </c>
      <c r="C80" s="122">
        <f>(((7/30)/12)*0.98)</f>
        <v>0.0190555555555556</v>
      </c>
      <c r="D80" s="105">
        <f t="shared" si="1"/>
        <v>30.86</v>
      </c>
    </row>
    <row r="81" ht="28.8" spans="1:4">
      <c r="A81" s="98" t="s">
        <v>53</v>
      </c>
      <c r="B81" s="162" t="s">
        <v>213</v>
      </c>
      <c r="C81" s="124">
        <f>C55</f>
        <v>0.398</v>
      </c>
      <c r="D81" s="120">
        <f>TRUNC(($D$80*C81),2)</f>
        <v>12.28</v>
      </c>
    </row>
    <row r="82" ht="28.8" spans="1:4">
      <c r="A82" s="98" t="s">
        <v>55</v>
      </c>
      <c r="B82" s="162" t="s">
        <v>115</v>
      </c>
      <c r="C82" s="124">
        <f>(0.08*0.4*0.98)</f>
        <v>0.03136</v>
      </c>
      <c r="D82" s="120">
        <f>TRUNC(($D$31*C82),2)</f>
        <v>50.79</v>
      </c>
    </row>
    <row r="83" spans="1:4">
      <c r="A83" s="98" t="s">
        <v>58</v>
      </c>
      <c r="C83" s="122">
        <f>SUM(C77:C82)</f>
        <v>0.530722222222222</v>
      </c>
      <c r="D83" s="105">
        <f>TRUNC((SUM(D77:D82)),2)</f>
        <v>97.86</v>
      </c>
    </row>
    <row r="84" ht="15.15" spans="1:4">
      <c r="A84" s="98"/>
      <c r="D84" s="105"/>
    </row>
    <row r="85" ht="15.9" spans="1:4">
      <c r="A85" s="107" t="s">
        <v>214</v>
      </c>
      <c r="B85" s="107"/>
      <c r="C85" s="112" t="s">
        <v>205</v>
      </c>
      <c r="D85" s="113">
        <f>D31</f>
        <v>1619.68</v>
      </c>
    </row>
    <row r="86" ht="15.9" spans="1:4">
      <c r="A86" s="107"/>
      <c r="B86" s="107"/>
      <c r="C86" s="114" t="s">
        <v>215</v>
      </c>
      <c r="D86" s="113">
        <f>D73</f>
        <v>1517.86</v>
      </c>
    </row>
    <row r="87" ht="15.9" spans="1:4">
      <c r="A87" s="107"/>
      <c r="B87" s="107"/>
      <c r="C87" s="112" t="s">
        <v>216</v>
      </c>
      <c r="D87" s="113">
        <f>D83</f>
        <v>97.86</v>
      </c>
    </row>
    <row r="88" ht="15.9" spans="1:4">
      <c r="A88" s="107"/>
      <c r="B88" s="107"/>
      <c r="C88" s="114" t="s">
        <v>207</v>
      </c>
      <c r="D88" s="115">
        <f>TRUNC((SUM(D85:D87)),2)</f>
        <v>3235.4</v>
      </c>
    </row>
    <row r="89" ht="15.15" spans="1:4">
      <c r="A89" s="98"/>
      <c r="D89" s="105"/>
    </row>
    <row r="90" spans="1:4">
      <c r="A90" s="125" t="s">
        <v>127</v>
      </c>
      <c r="B90" s="126"/>
      <c r="C90" s="126"/>
      <c r="D90" s="126"/>
    </row>
    <row r="91" spans="1:4">
      <c r="A91" s="109" t="s">
        <v>128</v>
      </c>
      <c r="B91" s="97"/>
      <c r="C91" s="97"/>
      <c r="D91" s="97"/>
    </row>
    <row r="92" spans="1:4">
      <c r="A92" s="98" t="s">
        <v>129</v>
      </c>
      <c r="B92" s="22" t="s">
        <v>130</v>
      </c>
      <c r="C92" s="99" t="s">
        <v>38</v>
      </c>
      <c r="D92" s="99" t="s">
        <v>19</v>
      </c>
    </row>
    <row r="93" spans="1:4">
      <c r="A93" s="98" t="s">
        <v>42</v>
      </c>
      <c r="B93" t="s">
        <v>132</v>
      </c>
      <c r="C93" s="122">
        <f>(((1+1/3)/12)/12)+((1/12)/12)</f>
        <v>0.0162037037037037</v>
      </c>
      <c r="D93" s="105">
        <f t="shared" ref="D93:D97" si="2">TRUNC(($D$88*C93),2)</f>
        <v>52.42</v>
      </c>
    </row>
    <row r="94" spans="1:4">
      <c r="A94" s="98" t="s">
        <v>45</v>
      </c>
      <c r="B94" t="s">
        <v>133</v>
      </c>
      <c r="C94" s="117">
        <f>((5/30)/12)</f>
        <v>0.0138888888888889</v>
      </c>
      <c r="D94" s="120">
        <f t="shared" si="2"/>
        <v>44.93</v>
      </c>
    </row>
    <row r="95" spans="1:4">
      <c r="A95" s="98" t="s">
        <v>48</v>
      </c>
      <c r="B95" t="s">
        <v>134</v>
      </c>
      <c r="C95" s="117">
        <f>((5/30)/12)*0.02</f>
        <v>0.000277777777777778</v>
      </c>
      <c r="D95" s="120">
        <f t="shared" si="2"/>
        <v>0.89</v>
      </c>
    </row>
    <row r="96" spans="1:4">
      <c r="A96" s="98" t="s">
        <v>50</v>
      </c>
      <c r="B96" s="123" t="s">
        <v>135</v>
      </c>
      <c r="C96" s="124">
        <f>((15/30)/12)*0.08</f>
        <v>0.00333333333333333</v>
      </c>
      <c r="D96" s="120">
        <f t="shared" si="2"/>
        <v>10.78</v>
      </c>
    </row>
    <row r="97" spans="1:4">
      <c r="A97" s="98" t="s">
        <v>53</v>
      </c>
      <c r="B97" t="s">
        <v>136</v>
      </c>
      <c r="C97" s="117">
        <f>((1+1/3)/12)*0.00001*((4/12))</f>
        <v>3.7037037037037e-7</v>
      </c>
      <c r="D97" s="120">
        <f t="shared" si="2"/>
        <v>0</v>
      </c>
    </row>
    <row r="98" spans="1:4">
      <c r="A98" s="98" t="s">
        <v>55</v>
      </c>
      <c r="B98" s="123" t="s">
        <v>217</v>
      </c>
      <c r="C98" s="127">
        <v>0</v>
      </c>
      <c r="D98" s="120">
        <f>TRUNC($D$88*C98)</f>
        <v>0</v>
      </c>
    </row>
    <row r="99" spans="1:4">
      <c r="A99" s="98" t="s">
        <v>58</v>
      </c>
      <c r="C99" s="122">
        <f>SUBTOTAL(109,Submódulo4.159_67[Percentual])</f>
        <v>0.0337040740740741</v>
      </c>
      <c r="D99" s="105">
        <f>TRUNC((SUM(D93:D98)),2)</f>
        <v>109.02</v>
      </c>
    </row>
    <row r="100" spans="1:4">
      <c r="A100" s="98"/>
      <c r="C100" s="99"/>
      <c r="D100" s="105"/>
    </row>
    <row r="101" spans="1:4">
      <c r="A101" s="109" t="s">
        <v>144</v>
      </c>
      <c r="B101" s="97"/>
      <c r="C101" s="97"/>
      <c r="D101" s="97"/>
    </row>
    <row r="102" spans="1:4">
      <c r="A102" s="98" t="s">
        <v>145</v>
      </c>
      <c r="B102" s="22" t="s">
        <v>146</v>
      </c>
      <c r="C102" s="99" t="s">
        <v>18</v>
      </c>
      <c r="D102" s="99" t="s">
        <v>19</v>
      </c>
    </row>
    <row r="103" ht="72" spans="1:4">
      <c r="A103" s="98" t="s">
        <v>42</v>
      </c>
      <c r="B103" s="128" t="s">
        <v>147</v>
      </c>
      <c r="C103" s="129" t="s">
        <v>218</v>
      </c>
      <c r="D103" s="130" t="s">
        <v>219</v>
      </c>
    </row>
    <row r="104" spans="1:4">
      <c r="A104" s="98" t="s">
        <v>58</v>
      </c>
      <c r="C104" s="99"/>
      <c r="D104" s="132" t="str">
        <f>D103</f>
        <v>*=TRUNCAR(($D$86/220)*(1*(365/12))/2)</v>
      </c>
    </row>
    <row r="106" spans="1:4">
      <c r="A106" s="109" t="s">
        <v>148</v>
      </c>
      <c r="B106" s="97"/>
      <c r="C106" s="97"/>
      <c r="D106" s="97"/>
    </row>
    <row r="107" spans="1:4">
      <c r="A107" s="98" t="s">
        <v>149</v>
      </c>
      <c r="B107" s="22" t="s">
        <v>150</v>
      </c>
      <c r="C107" s="99" t="s">
        <v>18</v>
      </c>
      <c r="D107" s="99" t="s">
        <v>19</v>
      </c>
    </row>
    <row r="108" spans="1:4">
      <c r="A108" s="98" t="s">
        <v>129</v>
      </c>
      <c r="B108" t="s">
        <v>130</v>
      </c>
      <c r="D108" s="101">
        <f>D99</f>
        <v>109.02</v>
      </c>
    </row>
    <row r="109" spans="1:4">
      <c r="A109" s="98" t="s">
        <v>145</v>
      </c>
      <c r="B109" t="s">
        <v>151</v>
      </c>
      <c r="C109" s="22"/>
      <c r="D109" s="133" t="str">
        <f>Submódulo4.260_71[[#Totals],[Valor]]</f>
        <v>*=TRUNCAR(($D$86/220)*(1*(365/12))/2)</v>
      </c>
    </row>
    <row r="110" ht="43.2" spans="1:4">
      <c r="A110" s="98" t="s">
        <v>58</v>
      </c>
      <c r="B110" s="119"/>
      <c r="C110" s="129" t="s">
        <v>220</v>
      </c>
      <c r="D110" s="134">
        <f>TRUNC((SUM(D108:D109)),2)</f>
        <v>109.02</v>
      </c>
    </row>
    <row r="112" spans="1:4">
      <c r="A112" s="76" t="s">
        <v>152</v>
      </c>
      <c r="B112" s="77"/>
      <c r="C112" s="77"/>
      <c r="D112" s="77"/>
    </row>
    <row r="113" ht="29.55" spans="1:9">
      <c r="A113" s="98" t="s">
        <v>153</v>
      </c>
      <c r="B113" s="22" t="s">
        <v>154</v>
      </c>
      <c r="C113" s="99" t="s">
        <v>18</v>
      </c>
      <c r="D113" s="99" t="s">
        <v>19</v>
      </c>
      <c r="F113" s="135" t="s">
        <v>221</v>
      </c>
      <c r="G113" s="136" t="s">
        <v>222</v>
      </c>
      <c r="H113" s="136" t="s">
        <v>223</v>
      </c>
      <c r="I113" s="136" t="s">
        <v>224</v>
      </c>
    </row>
    <row r="114" ht="15.9" spans="1:9">
      <c r="A114" s="98" t="s">
        <v>42</v>
      </c>
      <c r="B114" t="s">
        <v>225</v>
      </c>
      <c r="D114" s="137">
        <f>'Uniformes e EPI'!G84</f>
        <v>96.49</v>
      </c>
      <c r="F114" s="138" t="s">
        <v>226</v>
      </c>
      <c r="G114" s="139">
        <v>120</v>
      </c>
      <c r="H114" s="140">
        <v>70</v>
      </c>
      <c r="I114" s="140">
        <f>TRUNC(H114*G114,2)</f>
        <v>8400</v>
      </c>
    </row>
    <row r="115" ht="15.9" spans="1:9">
      <c r="A115" s="98" t="s">
        <v>45</v>
      </c>
      <c r="B115" t="s">
        <v>227</v>
      </c>
      <c r="D115" s="137">
        <f>EPC!E21</f>
        <v>24.5</v>
      </c>
      <c r="F115" s="141" t="s">
        <v>228</v>
      </c>
      <c r="G115" s="142">
        <v>60</v>
      </c>
      <c r="H115" s="143">
        <v>35</v>
      </c>
      <c r="I115" s="140">
        <f>TRUNC(H115*G115,2)</f>
        <v>2100</v>
      </c>
    </row>
    <row r="116" ht="15.15" spans="1:9">
      <c r="A116" s="98" t="s">
        <v>48</v>
      </c>
      <c r="B116" t="s">
        <v>156</v>
      </c>
      <c r="D116" s="137">
        <f>'Equipamentos e Materiais'!E101</f>
        <v>215.12</v>
      </c>
      <c r="F116" s="144" t="s">
        <v>207</v>
      </c>
      <c r="G116" s="145"/>
      <c r="H116" s="146">
        <f>TRUNC(SUM(I114:I115),2)</f>
        <v>10500</v>
      </c>
      <c r="I116" s="149"/>
    </row>
    <row r="117" spans="1:9">
      <c r="A117" s="98" t="s">
        <v>50</v>
      </c>
      <c r="B117" t="s">
        <v>157</v>
      </c>
      <c r="D117" s="137">
        <f>'Equipamentos e Materiais'!F132</f>
        <v>15.37</v>
      </c>
      <c r="F117" s="144" t="s">
        <v>229</v>
      </c>
      <c r="G117" s="145"/>
      <c r="H117" s="146">
        <f>TRUNC(H116/12,2)</f>
        <v>875</v>
      </c>
      <c r="I117" s="149"/>
    </row>
    <row r="118" spans="1:9">
      <c r="A118" s="98" t="s">
        <v>53</v>
      </c>
      <c r="B118" t="s">
        <v>230</v>
      </c>
      <c r="D118" s="137">
        <f>H117</f>
        <v>875</v>
      </c>
      <c r="F118" s="147" t="s">
        <v>232</v>
      </c>
      <c r="G118" s="147"/>
      <c r="H118" s="147"/>
      <c r="I118" s="147"/>
    </row>
    <row r="119" spans="1:9">
      <c r="A119" s="98" t="s">
        <v>58</v>
      </c>
      <c r="D119" s="148">
        <f>TRUNC(SUM(D114:D118),2)</f>
        <v>1226.48</v>
      </c>
      <c r="F119" s="147"/>
      <c r="G119" s="147"/>
      <c r="H119" s="147"/>
      <c r="I119" s="147"/>
    </row>
    <row r="120" ht="15.15"/>
    <row r="121" ht="15.9" spans="1:4">
      <c r="A121" s="107" t="s">
        <v>233</v>
      </c>
      <c r="B121" s="107"/>
      <c r="C121" s="112" t="s">
        <v>205</v>
      </c>
      <c r="D121" s="113">
        <f>D31</f>
        <v>1619.68</v>
      </c>
    </row>
    <row r="122" ht="15.9" spans="1:4">
      <c r="A122" s="107"/>
      <c r="B122" s="107"/>
      <c r="C122" s="114" t="s">
        <v>215</v>
      </c>
      <c r="D122" s="113">
        <f>D73</f>
        <v>1517.86</v>
      </c>
    </row>
    <row r="123" ht="15.9" spans="1:4">
      <c r="A123" s="107"/>
      <c r="B123" s="107"/>
      <c r="C123" s="112" t="s">
        <v>216</v>
      </c>
      <c r="D123" s="113">
        <f>D83</f>
        <v>97.86</v>
      </c>
    </row>
    <row r="124" ht="15.9" spans="1:4">
      <c r="A124" s="107"/>
      <c r="B124" s="107"/>
      <c r="C124" s="114" t="s">
        <v>234</v>
      </c>
      <c r="D124" s="113">
        <f>D110</f>
        <v>109.02</v>
      </c>
    </row>
    <row r="125" ht="15.9" spans="1:4">
      <c r="A125" s="107"/>
      <c r="B125" s="107"/>
      <c r="C125" s="112" t="s">
        <v>235</v>
      </c>
      <c r="D125" s="113">
        <f>D119</f>
        <v>1226.48</v>
      </c>
    </row>
    <row r="126" ht="15.9" spans="1:4">
      <c r="A126" s="107"/>
      <c r="B126" s="107"/>
      <c r="C126" s="114" t="s">
        <v>207</v>
      </c>
      <c r="D126" s="115">
        <f>TRUNC((SUM(D121:D125)),2)</f>
        <v>4570.9</v>
      </c>
    </row>
    <row r="127" ht="15.15"/>
    <row r="128" spans="1:4">
      <c r="A128" s="76" t="s">
        <v>164</v>
      </c>
      <c r="B128" s="77"/>
      <c r="C128" s="77"/>
      <c r="D128" s="77"/>
    </row>
    <row r="129" ht="15.15" spans="1:7">
      <c r="A129" s="98" t="s">
        <v>165</v>
      </c>
      <c r="B129" t="s">
        <v>166</v>
      </c>
      <c r="C129" s="99" t="s">
        <v>38</v>
      </c>
      <c r="D129" s="99" t="s">
        <v>19</v>
      </c>
      <c r="F129" s="135" t="s">
        <v>236</v>
      </c>
      <c r="G129" s="135"/>
    </row>
    <row r="130" ht="15.15" spans="1:7">
      <c r="A130" s="98" t="s">
        <v>42</v>
      </c>
      <c r="B130" t="s">
        <v>167</v>
      </c>
      <c r="C130" s="117">
        <v>0.04</v>
      </c>
      <c r="D130" s="101">
        <f>TRUNC(($D$126*C130),2)</f>
        <v>182.83</v>
      </c>
      <c r="F130" s="138" t="s">
        <v>237</v>
      </c>
      <c r="G130" s="124">
        <f>C132</f>
        <v>0.0865</v>
      </c>
    </row>
    <row r="131" ht="15.15" spans="1:7">
      <c r="A131" s="98" t="s">
        <v>45</v>
      </c>
      <c r="B131" t="s">
        <v>59</v>
      </c>
      <c r="C131" s="117">
        <v>0.05</v>
      </c>
      <c r="D131" s="101">
        <f>TRUNC((C131*(D126+D130)),2)</f>
        <v>237.68</v>
      </c>
      <c r="F131" s="150" t="s">
        <v>238</v>
      </c>
      <c r="G131" s="159">
        <f>TRUNC(SUM(D126,D130,D131),2)</f>
        <v>4991.41</v>
      </c>
    </row>
    <row r="132" ht="15.15" spans="1:7">
      <c r="A132" s="98" t="s">
        <v>48</v>
      </c>
      <c r="B132" t="s">
        <v>168</v>
      </c>
      <c r="C132" s="117">
        <f>SUM(C133:C135)</f>
        <v>0.0865</v>
      </c>
      <c r="D132" s="101">
        <f>TRUNC((SUM(D133:D135)),2)</f>
        <v>472.63</v>
      </c>
      <c r="F132" s="138" t="s">
        <v>239</v>
      </c>
      <c r="G132" s="152">
        <f>(100-8.65)/100</f>
        <v>0.9135</v>
      </c>
    </row>
    <row r="133" ht="15.15" spans="1:7">
      <c r="A133" s="98"/>
      <c r="B133" t="s">
        <v>240</v>
      </c>
      <c r="C133" s="117">
        <v>0.0065</v>
      </c>
      <c r="D133" s="101">
        <f t="shared" ref="D133:D135" si="3">TRUNC(($G$133*C133),2)</f>
        <v>35.51</v>
      </c>
      <c r="F133" s="150" t="s">
        <v>236</v>
      </c>
      <c r="G133" s="159">
        <f>TRUNC((G131/G132),2)</f>
        <v>5464.05</v>
      </c>
    </row>
    <row r="134" ht="15.15" spans="1:4">
      <c r="A134" s="98"/>
      <c r="B134" t="s">
        <v>241</v>
      </c>
      <c r="C134" s="117">
        <v>0.03</v>
      </c>
      <c r="D134" s="101">
        <f t="shared" si="3"/>
        <v>163.92</v>
      </c>
    </row>
    <row r="135" spans="1:4">
      <c r="A135" s="98"/>
      <c r="B135" t="s">
        <v>242</v>
      </c>
      <c r="C135" s="117">
        <v>0.05</v>
      </c>
      <c r="D135" s="101">
        <f t="shared" si="3"/>
        <v>273.2</v>
      </c>
    </row>
    <row r="136" spans="1:4">
      <c r="A136" s="98" t="s">
        <v>58</v>
      </c>
      <c r="C136" s="153"/>
      <c r="D136" s="105">
        <f>TRUNC(SUM(D130:D132),2)</f>
        <v>893.14</v>
      </c>
    </row>
    <row r="137" spans="1:4">
      <c r="A137" s="98"/>
      <c r="C137" s="153"/>
      <c r="D137" s="105"/>
    </row>
    <row r="139" spans="1:4">
      <c r="A139" s="76" t="s">
        <v>172</v>
      </c>
      <c r="B139" s="77"/>
      <c r="C139" s="77"/>
      <c r="D139" s="77"/>
    </row>
    <row r="140" spans="1:4">
      <c r="A140" s="98" t="s">
        <v>16</v>
      </c>
      <c r="B140" s="99" t="s">
        <v>173</v>
      </c>
      <c r="C140" s="99" t="s">
        <v>102</v>
      </c>
      <c r="D140" s="99" t="s">
        <v>19</v>
      </c>
    </row>
    <row r="141" spans="1:4">
      <c r="A141" s="98" t="s">
        <v>42</v>
      </c>
      <c r="B141" t="s">
        <v>36</v>
      </c>
      <c r="D141" s="105">
        <f>D31</f>
        <v>1619.68</v>
      </c>
    </row>
    <row r="142" spans="1:4">
      <c r="A142" s="98" t="s">
        <v>45</v>
      </c>
      <c r="B142" t="s">
        <v>61</v>
      </c>
      <c r="D142" s="105">
        <f>D73</f>
        <v>1517.86</v>
      </c>
    </row>
    <row r="143" spans="1:4">
      <c r="A143" s="98" t="s">
        <v>48</v>
      </c>
      <c r="B143" t="s">
        <v>108</v>
      </c>
      <c r="D143" s="105">
        <f>D83</f>
        <v>97.86</v>
      </c>
    </row>
    <row r="144" spans="1:4">
      <c r="A144" s="98" t="s">
        <v>50</v>
      </c>
      <c r="B144" t="s">
        <v>174</v>
      </c>
      <c r="D144" s="105">
        <f>D110</f>
        <v>109.02</v>
      </c>
    </row>
    <row r="145" spans="1:4">
      <c r="A145" s="98" t="s">
        <v>53</v>
      </c>
      <c r="B145" t="s">
        <v>152</v>
      </c>
      <c r="D145" s="105">
        <f>D119</f>
        <v>1226.48</v>
      </c>
    </row>
    <row r="146" spans="2:4">
      <c r="B146" s="154" t="s">
        <v>243</v>
      </c>
      <c r="D146" s="105">
        <f>TRUNC(SUM(D141:D145),2)</f>
        <v>4570.9</v>
      </c>
    </row>
    <row r="147" spans="1:4">
      <c r="A147" s="98" t="s">
        <v>55</v>
      </c>
      <c r="B147" t="s">
        <v>164</v>
      </c>
      <c r="D147" s="105">
        <f>D136</f>
        <v>893.14</v>
      </c>
    </row>
    <row r="148" spans="1:4">
      <c r="A148" s="155"/>
      <c r="B148" s="156" t="s">
        <v>244</v>
      </c>
      <c r="C148" s="157"/>
      <c r="D148" s="158">
        <f>TRUNC((SUM(D141:D145)+D147),2)</f>
        <v>5464.04</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75" workbookViewId="0">
      <selection activeCell="F27" sqref="F27"/>
    </sheetView>
  </sheetViews>
  <sheetFormatPr defaultColWidth="9.13888888888889" defaultRowHeight="14.4"/>
  <cols>
    <col min="1" max="1" width="10.5740740740741" style="52" customWidth="1"/>
    <col min="2" max="2" width="51.287037037037" customWidth="1"/>
    <col min="3" max="3" width="29.8611111111111" customWidth="1"/>
    <col min="4" max="4" width="41" customWidth="1"/>
    <col min="6" max="6" width="22.8611111111111" customWidth="1"/>
    <col min="7" max="7" width="13.6481481481481" customWidth="1"/>
    <col min="8" max="8" width="10.9537037037037" customWidth="1"/>
    <col min="9" max="9" width="11.4259259259259" customWidth="1"/>
  </cols>
  <sheetData>
    <row r="2" ht="18.75" spans="1:4">
      <c r="A2" s="67" t="s">
        <v>177</v>
      </c>
      <c r="B2" s="68"/>
      <c r="C2" s="68"/>
      <c r="D2" s="68"/>
    </row>
    <row r="3" ht="15.15" spans="1:4">
      <c r="A3" s="69" t="s">
        <v>178</v>
      </c>
      <c r="B3" s="70"/>
      <c r="C3" s="70"/>
      <c r="D3" s="70"/>
    </row>
    <row r="4" spans="1:4">
      <c r="A4" s="71" t="s">
        <v>179</v>
      </c>
      <c r="B4" s="72" t="s">
        <v>245</v>
      </c>
      <c r="C4" s="73"/>
      <c r="D4" s="73"/>
    </row>
    <row r="5" spans="1:4">
      <c r="A5" s="74"/>
      <c r="B5" s="75"/>
      <c r="C5" s="75"/>
      <c r="D5" s="75"/>
    </row>
    <row r="6" ht="15.15" spans="1:4">
      <c r="A6" s="76" t="s">
        <v>181</v>
      </c>
      <c r="B6" s="77"/>
      <c r="C6" s="77"/>
      <c r="D6" s="77"/>
    </row>
    <row r="7" ht="15.15" spans="1:4">
      <c r="A7" s="78" t="s">
        <v>42</v>
      </c>
      <c r="B7" s="79" t="s">
        <v>182</v>
      </c>
      <c r="C7" s="80" t="s">
        <v>183</v>
      </c>
      <c r="D7" s="80"/>
    </row>
    <row r="8" spans="1:4">
      <c r="A8" s="81" t="s">
        <v>45</v>
      </c>
      <c r="B8" s="82" t="s">
        <v>184</v>
      </c>
      <c r="C8" s="83" t="s">
        <v>185</v>
      </c>
      <c r="D8" s="83"/>
    </row>
    <row r="9" spans="1:4">
      <c r="A9" s="84" t="s">
        <v>48</v>
      </c>
      <c r="B9" s="85" t="s">
        <v>186</v>
      </c>
      <c r="C9" s="83" t="s">
        <v>187</v>
      </c>
      <c r="D9" s="83"/>
    </row>
    <row r="10" spans="1:4">
      <c r="A10" s="81" t="s">
        <v>53</v>
      </c>
      <c r="B10" s="82" t="s">
        <v>188</v>
      </c>
      <c r="C10" s="83" t="s">
        <v>189</v>
      </c>
      <c r="D10" s="83"/>
    </row>
    <row r="11" ht="15.15" spans="1:4">
      <c r="A11" s="86" t="s">
        <v>190</v>
      </c>
      <c r="B11" s="87"/>
      <c r="C11" s="87"/>
      <c r="D11" s="87"/>
    </row>
    <row r="12" ht="15.9" spans="1:4">
      <c r="A12" s="88" t="s">
        <v>191</v>
      </c>
      <c r="B12" s="89"/>
      <c r="C12" s="87" t="s">
        <v>192</v>
      </c>
      <c r="D12" s="90" t="s">
        <v>193</v>
      </c>
    </row>
    <row r="13" ht="15.15" spans="1:4">
      <c r="A13" s="91" t="s">
        <v>253</v>
      </c>
      <c r="B13" s="92"/>
      <c r="C13" s="83" t="s">
        <v>195</v>
      </c>
      <c r="D13" s="93">
        <f>RESUMO!D7</f>
        <v>1</v>
      </c>
    </row>
    <row r="14" spans="1:4">
      <c r="A14" s="94"/>
      <c r="B14" s="95"/>
      <c r="C14" s="83"/>
      <c r="D14" s="96"/>
    </row>
    <row r="15" ht="15.15" spans="1:7">
      <c r="A15" s="86" t="s">
        <v>14</v>
      </c>
      <c r="B15" s="87"/>
      <c r="C15" s="87"/>
      <c r="D15" s="87"/>
      <c r="F15" s="97"/>
      <c r="G15" s="97"/>
    </row>
    <row r="16" ht="15.15" spans="1:4">
      <c r="A16" s="98" t="s">
        <v>16</v>
      </c>
      <c r="B16" t="s">
        <v>17</v>
      </c>
      <c r="C16" s="99" t="s">
        <v>18</v>
      </c>
      <c r="D16" s="99" t="s">
        <v>19</v>
      </c>
    </row>
    <row r="17" spans="1:4">
      <c r="A17" s="98">
        <v>1</v>
      </c>
      <c r="B17" t="s">
        <v>20</v>
      </c>
      <c r="C17" s="100" t="s">
        <v>102</v>
      </c>
      <c r="D17" s="100" t="str">
        <f>A13</f>
        <v>Auxiliar de Manutenção Predial</v>
      </c>
    </row>
    <row r="18" spans="1:4">
      <c r="A18" s="98">
        <v>2</v>
      </c>
      <c r="B18" t="s">
        <v>23</v>
      </c>
      <c r="C18" s="100" t="s">
        <v>196</v>
      </c>
      <c r="D18" s="100" t="s">
        <v>254</v>
      </c>
    </row>
    <row r="19" spans="1:4">
      <c r="A19" s="98">
        <v>3</v>
      </c>
      <c r="B19" t="s">
        <v>26</v>
      </c>
      <c r="C19" s="100" t="str">
        <f>C9</f>
        <v>CCT PB000517/2021</v>
      </c>
      <c r="D19" s="101">
        <v>1619.68</v>
      </c>
    </row>
    <row r="20" spans="1:4">
      <c r="A20" s="98">
        <v>4</v>
      </c>
      <c r="B20" t="s">
        <v>29</v>
      </c>
      <c r="C20" s="100" t="str">
        <f>C9</f>
        <v>CCT PB000517/2021</v>
      </c>
      <c r="D20" s="102" t="s">
        <v>198</v>
      </c>
    </row>
    <row r="21" spans="1:4">
      <c r="A21" s="98">
        <v>5</v>
      </c>
      <c r="B21" t="s">
        <v>33</v>
      </c>
      <c r="C21" s="100" t="str">
        <f>C9</f>
        <v>CCT PB000517/2021</v>
      </c>
      <c r="D21" s="103" t="s">
        <v>199</v>
      </c>
    </row>
    <row r="22" spans="6:7">
      <c r="F22" s="97"/>
      <c r="G22" s="97"/>
    </row>
    <row r="23" spans="1:4">
      <c r="A23" s="76" t="s">
        <v>36</v>
      </c>
      <c r="B23" s="77"/>
      <c r="C23" s="77"/>
      <c r="D23" s="77"/>
    </row>
    <row r="24" spans="1:7">
      <c r="A24" s="98" t="s">
        <v>39</v>
      </c>
      <c r="B24" s="22" t="s">
        <v>40</v>
      </c>
      <c r="C24" s="99" t="s">
        <v>18</v>
      </c>
      <c r="D24" s="99" t="s">
        <v>19</v>
      </c>
      <c r="G24" s="104"/>
    </row>
    <row r="25" spans="1:7">
      <c r="A25" s="98" t="s">
        <v>42</v>
      </c>
      <c r="B25" t="s">
        <v>43</v>
      </c>
      <c r="C25" s="102" t="s">
        <v>200</v>
      </c>
      <c r="D25" s="101">
        <f>D19</f>
        <v>1619.68</v>
      </c>
      <c r="G25" s="104"/>
    </row>
    <row r="26" spans="1:7">
      <c r="A26" s="98" t="s">
        <v>45</v>
      </c>
      <c r="B26" t="s">
        <v>201</v>
      </c>
      <c r="C26" s="102"/>
      <c r="D26" s="101">
        <v>0</v>
      </c>
      <c r="G26" s="104"/>
    </row>
    <row r="27" spans="1:4">
      <c r="A27" s="98" t="s">
        <v>48</v>
      </c>
      <c r="B27" t="s">
        <v>202</v>
      </c>
      <c r="C27" s="102"/>
      <c r="D27" s="101">
        <v>0</v>
      </c>
    </row>
    <row r="28" spans="1:4">
      <c r="A28" s="98" t="s">
        <v>50</v>
      </c>
      <c r="B28" t="s">
        <v>51</v>
      </c>
      <c r="C28" s="102"/>
      <c r="D28" s="101">
        <v>0</v>
      </c>
    </row>
    <row r="29" spans="1:4">
      <c r="A29" s="98" t="s">
        <v>53</v>
      </c>
      <c r="B29" t="s">
        <v>54</v>
      </c>
      <c r="C29" s="102"/>
      <c r="D29" s="101">
        <v>0</v>
      </c>
    </row>
    <row r="30" spans="1:4">
      <c r="A30" s="98" t="s">
        <v>55</v>
      </c>
      <c r="B30" t="s">
        <v>56</v>
      </c>
      <c r="C30" s="102"/>
      <c r="D30" s="101">
        <v>0</v>
      </c>
    </row>
    <row r="31" spans="1:7">
      <c r="A31" s="98" t="s">
        <v>58</v>
      </c>
      <c r="C31" s="99"/>
      <c r="D31" s="105">
        <f>TRUNC(SUM(D25:D30),2)</f>
        <v>1619.68</v>
      </c>
      <c r="F31" s="97"/>
      <c r="G31" s="97"/>
    </row>
    <row r="32" spans="2:2">
      <c r="B32" s="106" t="s">
        <v>203</v>
      </c>
    </row>
    <row r="33" spans="1:7">
      <c r="A33" s="107" t="s">
        <v>61</v>
      </c>
      <c r="B33" s="108"/>
      <c r="C33" s="108"/>
      <c r="D33" s="108"/>
      <c r="G33" s="104"/>
    </row>
    <row r="35" spans="1:4">
      <c r="A35" s="109" t="s">
        <v>63</v>
      </c>
      <c r="B35" s="97"/>
      <c r="C35" s="97"/>
      <c r="D35" s="97"/>
    </row>
    <row r="36" spans="1:4">
      <c r="A36" s="98" t="s">
        <v>65</v>
      </c>
      <c r="B36" s="22" t="s">
        <v>66</v>
      </c>
      <c r="C36" s="99" t="s">
        <v>38</v>
      </c>
      <c r="D36" s="99" t="s">
        <v>19</v>
      </c>
    </row>
    <row r="37" spans="1:7">
      <c r="A37" s="98" t="s">
        <v>42</v>
      </c>
      <c r="B37" t="s">
        <v>67</v>
      </c>
      <c r="C37" s="110">
        <f>(1/12)</f>
        <v>0.0833333333333333</v>
      </c>
      <c r="D37" s="105">
        <f>TRUNC($D$31*C37,2)</f>
        <v>134.97</v>
      </c>
      <c r="F37" s="111"/>
      <c r="G37" s="111"/>
    </row>
    <row r="38" spans="1:7">
      <c r="A38" s="98" t="s">
        <v>45</v>
      </c>
      <c r="B38" t="s">
        <v>68</v>
      </c>
      <c r="C38" s="110">
        <f>(((1+1/3)/12))</f>
        <v>0.111111111111111</v>
      </c>
      <c r="D38" s="105">
        <f>TRUNC($D$31*C38,2)</f>
        <v>179.96</v>
      </c>
      <c r="F38" s="111"/>
      <c r="G38" s="111"/>
    </row>
    <row r="39" spans="1:7">
      <c r="A39" s="98" t="s">
        <v>58</v>
      </c>
      <c r="D39" s="105">
        <f>TRUNC((SUM(D37:D38)),2)</f>
        <v>314.93</v>
      </c>
      <c r="F39" s="111"/>
      <c r="G39" s="111"/>
    </row>
    <row r="40" ht="15.15" spans="4:7">
      <c r="D40" s="105"/>
      <c r="F40" s="111"/>
      <c r="G40" s="111"/>
    </row>
    <row r="41" ht="15.9" spans="1:7">
      <c r="A41" s="107" t="s">
        <v>204</v>
      </c>
      <c r="B41" s="107"/>
      <c r="C41" s="112" t="s">
        <v>205</v>
      </c>
      <c r="D41" s="113">
        <f>D31</f>
        <v>1619.68</v>
      </c>
      <c r="F41" s="111"/>
      <c r="G41" s="111"/>
    </row>
    <row r="42" ht="15.9" spans="1:7">
      <c r="A42" s="107"/>
      <c r="B42" s="107"/>
      <c r="C42" s="114" t="s">
        <v>206</v>
      </c>
      <c r="D42" s="113">
        <f>D39</f>
        <v>314.93</v>
      </c>
      <c r="F42" s="111"/>
      <c r="G42" s="111"/>
    </row>
    <row r="43" ht="15.9" spans="1:7">
      <c r="A43" s="107"/>
      <c r="B43" s="107"/>
      <c r="C43" s="112" t="s">
        <v>207</v>
      </c>
      <c r="D43" s="115">
        <f>TRUNC((SUM(D41:D42)),2)</f>
        <v>1934.61</v>
      </c>
      <c r="F43" s="111"/>
      <c r="G43" s="111"/>
    </row>
    <row r="44" ht="15.15" spans="1:7">
      <c r="A44" s="98"/>
      <c r="C44" s="116"/>
      <c r="D44" s="105"/>
      <c r="F44" s="111"/>
      <c r="G44" s="111"/>
    </row>
    <row r="45" spans="1:4">
      <c r="A45" s="109" t="s">
        <v>77</v>
      </c>
      <c r="B45" s="97"/>
      <c r="C45" s="97"/>
      <c r="D45" s="97"/>
    </row>
    <row r="46" spans="1:4">
      <c r="A46" s="98" t="s">
        <v>78</v>
      </c>
      <c r="B46" s="22" t="s">
        <v>79</v>
      </c>
      <c r="C46" s="99" t="s">
        <v>38</v>
      </c>
      <c r="D46" s="99" t="s">
        <v>80</v>
      </c>
    </row>
    <row r="47" spans="1:4">
      <c r="A47" s="98" t="s">
        <v>42</v>
      </c>
      <c r="B47" t="s">
        <v>81</v>
      </c>
      <c r="C47" s="110">
        <v>0.2</v>
      </c>
      <c r="D47" s="105">
        <f t="shared" ref="D47:D54" si="0">TRUNC(($D$43*C47),2)</f>
        <v>386.92</v>
      </c>
    </row>
    <row r="48" spans="1:4">
      <c r="A48" s="98" t="s">
        <v>45</v>
      </c>
      <c r="B48" t="s">
        <v>82</v>
      </c>
      <c r="C48" s="110">
        <v>0.025</v>
      </c>
      <c r="D48" s="105">
        <f t="shared" si="0"/>
        <v>48.36</v>
      </c>
    </row>
    <row r="49" spans="1:4">
      <c r="A49" s="98" t="s">
        <v>48</v>
      </c>
      <c r="B49" t="s">
        <v>208</v>
      </c>
      <c r="C49" s="117">
        <v>0.06</v>
      </c>
      <c r="D49" s="101">
        <f t="shared" si="0"/>
        <v>116.07</v>
      </c>
    </row>
    <row r="50" spans="1:4">
      <c r="A50" s="98" t="s">
        <v>50</v>
      </c>
      <c r="B50" t="s">
        <v>84</v>
      </c>
      <c r="C50" s="110">
        <v>0.015</v>
      </c>
      <c r="D50" s="105">
        <f t="shared" si="0"/>
        <v>29.01</v>
      </c>
    </row>
    <row r="51" spans="1:4">
      <c r="A51" s="98" t="s">
        <v>53</v>
      </c>
      <c r="B51" t="s">
        <v>85</v>
      </c>
      <c r="C51" s="110">
        <v>0.01</v>
      </c>
      <c r="D51" s="105">
        <f t="shared" si="0"/>
        <v>19.34</v>
      </c>
    </row>
    <row r="52" spans="1:4">
      <c r="A52" s="98" t="s">
        <v>55</v>
      </c>
      <c r="B52" t="s">
        <v>86</v>
      </c>
      <c r="C52" s="110">
        <v>0.006</v>
      </c>
      <c r="D52" s="105">
        <f t="shared" si="0"/>
        <v>11.6</v>
      </c>
    </row>
    <row r="53" spans="1:4">
      <c r="A53" s="98" t="s">
        <v>87</v>
      </c>
      <c r="B53" t="s">
        <v>88</v>
      </c>
      <c r="C53" s="110">
        <v>0.002</v>
      </c>
      <c r="D53" s="105">
        <f t="shared" si="0"/>
        <v>3.86</v>
      </c>
    </row>
    <row r="54" spans="1:4">
      <c r="A54" s="98" t="s">
        <v>89</v>
      </c>
      <c r="B54" t="s">
        <v>90</v>
      </c>
      <c r="C54" s="110">
        <v>0.08</v>
      </c>
      <c r="D54" s="105">
        <f t="shared" si="0"/>
        <v>154.76</v>
      </c>
    </row>
    <row r="55" spans="1:4">
      <c r="A55" s="98" t="s">
        <v>58</v>
      </c>
      <c r="C55" s="116">
        <f>SUM(C47:C54)</f>
        <v>0.398</v>
      </c>
      <c r="D55" s="105">
        <f>TRUNC((SUM(D47:D54)),2)</f>
        <v>769.92</v>
      </c>
    </row>
    <row r="56" spans="1:4">
      <c r="A56" s="98"/>
      <c r="C56" s="116"/>
      <c r="D56" s="105"/>
    </row>
    <row r="57" spans="1:4">
      <c r="A57" s="109" t="s">
        <v>95</v>
      </c>
      <c r="B57" s="97"/>
      <c r="C57" s="97"/>
      <c r="D57" s="97"/>
    </row>
    <row r="58" spans="1:4">
      <c r="A58" s="98" t="s">
        <v>96</v>
      </c>
      <c r="B58" s="22" t="s">
        <v>97</v>
      </c>
      <c r="C58" s="99" t="s">
        <v>18</v>
      </c>
      <c r="D58" s="99" t="s">
        <v>19</v>
      </c>
    </row>
    <row r="59" spans="1:4">
      <c r="A59" s="98" t="s">
        <v>42</v>
      </c>
      <c r="B59" t="s">
        <v>98</v>
      </c>
      <c r="C59" s="100"/>
      <c r="D59" s="118">
        <v>0</v>
      </c>
    </row>
    <row r="60" spans="1:4">
      <c r="A60" s="98" t="s">
        <v>45</v>
      </c>
      <c r="B60" t="s">
        <v>99</v>
      </c>
      <c r="C60" s="100" t="str">
        <f>C9</f>
        <v>CCT PB000517/2021</v>
      </c>
      <c r="D60" s="101">
        <f>TRUNC((((22*20.91))-(((22*20.91))*0.2)),2)</f>
        <v>368.01</v>
      </c>
    </row>
    <row r="61" spans="1:4">
      <c r="A61" s="98" t="s">
        <v>48</v>
      </c>
      <c r="B61" t="s">
        <v>100</v>
      </c>
      <c r="C61" s="100"/>
      <c r="D61" s="101">
        <v>0</v>
      </c>
    </row>
    <row r="62" spans="1:6">
      <c r="A62" s="98" t="s">
        <v>50</v>
      </c>
      <c r="B62" s="119" t="s">
        <v>209</v>
      </c>
      <c r="C62" s="120"/>
      <c r="D62" s="120">
        <v>0</v>
      </c>
      <c r="F62" s="119"/>
    </row>
    <row r="63" spans="1:4">
      <c r="A63" s="98" t="s">
        <v>53</v>
      </c>
      <c r="B63" s="22" t="s">
        <v>210</v>
      </c>
      <c r="C63" s="100" t="str">
        <f>C60</f>
        <v>CCT PB000517/2021</v>
      </c>
      <c r="D63" s="101">
        <v>20</v>
      </c>
    </row>
    <row r="64" spans="1:4">
      <c r="A64" s="98" t="s">
        <v>55</v>
      </c>
      <c r="B64" s="121" t="s">
        <v>211</v>
      </c>
      <c r="C64" s="100" t="str">
        <f>C9</f>
        <v>CCT PB000517/2021</v>
      </c>
      <c r="D64" s="101">
        <v>5</v>
      </c>
    </row>
    <row r="65" spans="1:4">
      <c r="A65" s="98" t="s">
        <v>87</v>
      </c>
      <c r="B65" s="121" t="s">
        <v>212</v>
      </c>
      <c r="C65" s="120" t="str">
        <f>C60</f>
        <v>CCT PB000517/2021</v>
      </c>
      <c r="D65" s="101">
        <v>40</v>
      </c>
    </row>
    <row r="66" spans="1:4">
      <c r="A66" s="98" t="s">
        <v>58</v>
      </c>
      <c r="D66" s="105">
        <f>TRUNC((SUM(D59:D65)),2)</f>
        <v>433.01</v>
      </c>
    </row>
    <row r="67" spans="1:4">
      <c r="A67" s="98"/>
      <c r="D67" s="105"/>
    </row>
    <row r="68" spans="1:4">
      <c r="A68" s="109" t="s">
        <v>105</v>
      </c>
      <c r="B68" s="97"/>
      <c r="C68" s="97"/>
      <c r="D68" s="97"/>
    </row>
    <row r="69" spans="1:4">
      <c r="A69" s="98" t="s">
        <v>106</v>
      </c>
      <c r="B69" s="22" t="s">
        <v>107</v>
      </c>
      <c r="C69" s="99" t="s">
        <v>18</v>
      </c>
      <c r="D69" s="99" t="s">
        <v>19</v>
      </c>
    </row>
    <row r="70" spans="1:4">
      <c r="A70" s="98" t="s">
        <v>65</v>
      </c>
      <c r="B70" t="s">
        <v>66</v>
      </c>
      <c r="C70" s="99"/>
      <c r="D70" s="105">
        <f>D39</f>
        <v>314.93</v>
      </c>
    </row>
    <row r="71" spans="1:4">
      <c r="A71" s="98" t="s">
        <v>78</v>
      </c>
      <c r="B71" t="s">
        <v>79</v>
      </c>
      <c r="C71" s="99"/>
      <c r="D71" s="105">
        <f>D55</f>
        <v>769.92</v>
      </c>
    </row>
    <row r="72" spans="1:4">
      <c r="A72" s="98" t="s">
        <v>96</v>
      </c>
      <c r="B72" t="s">
        <v>97</v>
      </c>
      <c r="C72" s="99"/>
      <c r="D72" s="105">
        <f>D66</f>
        <v>433.01</v>
      </c>
    </row>
    <row r="73" spans="1:4">
      <c r="A73" s="98" t="s">
        <v>58</v>
      </c>
      <c r="C73" s="99"/>
      <c r="D73" s="105">
        <f>TRUNC(SUM(D70:D72),2)</f>
        <v>1517.86</v>
      </c>
    </row>
    <row r="75" spans="1:4">
      <c r="A75" s="76" t="s">
        <v>108</v>
      </c>
      <c r="B75" s="77"/>
      <c r="C75" s="77"/>
      <c r="D75" s="77"/>
    </row>
    <row r="76" spans="1:4">
      <c r="A76" s="98" t="s">
        <v>109</v>
      </c>
      <c r="B76" s="22" t="s">
        <v>110</v>
      </c>
      <c r="C76" s="99" t="s">
        <v>38</v>
      </c>
      <c r="D76" s="99" t="s">
        <v>19</v>
      </c>
    </row>
    <row r="77" spans="1:4">
      <c r="A77" s="98" t="s">
        <v>42</v>
      </c>
      <c r="B77" t="s">
        <v>111</v>
      </c>
      <c r="C77" s="117">
        <f>((1/12)*2%)</f>
        <v>0.00166666666666667</v>
      </c>
      <c r="D77" s="101">
        <f t="shared" ref="D77:D80" si="1">TRUNC(($D$31*C77),2)</f>
        <v>2.69</v>
      </c>
    </row>
    <row r="78" spans="1:4">
      <c r="A78" s="98" t="s">
        <v>45</v>
      </c>
      <c r="B78" t="s">
        <v>112</v>
      </c>
      <c r="C78" s="122">
        <v>0.08</v>
      </c>
      <c r="D78" s="105">
        <f>TRUNC(($D$77*C78),2)</f>
        <v>0.21</v>
      </c>
    </row>
    <row r="79" ht="28.8" spans="1:4">
      <c r="A79" s="98" t="s">
        <v>48</v>
      </c>
      <c r="B79" s="123" t="s">
        <v>113</v>
      </c>
      <c r="C79" s="124">
        <f>(0.08*0.4*0.02)</f>
        <v>0.00064</v>
      </c>
      <c r="D79" s="120">
        <f t="shared" si="1"/>
        <v>1.03</v>
      </c>
    </row>
    <row r="80" spans="1:4">
      <c r="A80" s="98" t="s">
        <v>50</v>
      </c>
      <c r="B80" t="s">
        <v>114</v>
      </c>
      <c r="C80" s="122">
        <f>(((7/30)/12)*0.98)</f>
        <v>0.0190555555555556</v>
      </c>
      <c r="D80" s="105">
        <f t="shared" si="1"/>
        <v>30.86</v>
      </c>
    </row>
    <row r="81" ht="28.8" spans="1:4">
      <c r="A81" s="98" t="s">
        <v>53</v>
      </c>
      <c r="B81" s="123" t="s">
        <v>213</v>
      </c>
      <c r="C81" s="124">
        <f>C55</f>
        <v>0.398</v>
      </c>
      <c r="D81" s="120">
        <f>TRUNC(($D$80*C81),2)</f>
        <v>12.28</v>
      </c>
    </row>
    <row r="82" ht="28.8" spans="1:4">
      <c r="A82" s="98" t="s">
        <v>55</v>
      </c>
      <c r="B82" s="123" t="s">
        <v>115</v>
      </c>
      <c r="C82" s="124">
        <f>(0.08*0.4*0.98)</f>
        <v>0.03136</v>
      </c>
      <c r="D82" s="120">
        <f>TRUNC(($D$31*C82),2)</f>
        <v>50.79</v>
      </c>
    </row>
    <row r="83" spans="1:4">
      <c r="A83" s="98" t="s">
        <v>58</v>
      </c>
      <c r="C83" s="122">
        <f>SUM(C77:C82)</f>
        <v>0.530722222222222</v>
      </c>
      <c r="D83" s="105">
        <f>TRUNC((SUM(D77:D82)),2)</f>
        <v>97.86</v>
      </c>
    </row>
    <row r="84" ht="15.15" spans="1:4">
      <c r="A84" s="98"/>
      <c r="D84" s="105"/>
    </row>
    <row r="85" ht="15.9" spans="1:4">
      <c r="A85" s="107" t="s">
        <v>214</v>
      </c>
      <c r="B85" s="107"/>
      <c r="C85" s="112" t="s">
        <v>205</v>
      </c>
      <c r="D85" s="113">
        <f>D31</f>
        <v>1619.68</v>
      </c>
    </row>
    <row r="86" ht="15.9" spans="1:4">
      <c r="A86" s="107"/>
      <c r="B86" s="107"/>
      <c r="C86" s="114" t="s">
        <v>215</v>
      </c>
      <c r="D86" s="113">
        <f>D73</f>
        <v>1517.86</v>
      </c>
    </row>
    <row r="87" ht="15.9" spans="1:4">
      <c r="A87" s="107"/>
      <c r="B87" s="107"/>
      <c r="C87" s="112" t="s">
        <v>216</v>
      </c>
      <c r="D87" s="113">
        <f>D83</f>
        <v>97.86</v>
      </c>
    </row>
    <row r="88" ht="15.9" spans="1:4">
      <c r="A88" s="107"/>
      <c r="B88" s="107"/>
      <c r="C88" s="114" t="s">
        <v>207</v>
      </c>
      <c r="D88" s="115">
        <f>TRUNC((SUM(D85:D87)),2)</f>
        <v>3235.4</v>
      </c>
    </row>
    <row r="89" ht="15.15" spans="1:4">
      <c r="A89" s="98"/>
      <c r="D89" s="105"/>
    </row>
    <row r="90" spans="1:4">
      <c r="A90" s="125" t="s">
        <v>127</v>
      </c>
      <c r="B90" s="126"/>
      <c r="C90" s="126"/>
      <c r="D90" s="126"/>
    </row>
    <row r="91" spans="1:4">
      <c r="A91" s="109" t="s">
        <v>128</v>
      </c>
      <c r="B91" s="97"/>
      <c r="C91" s="97"/>
      <c r="D91" s="97"/>
    </row>
    <row r="92" spans="1:4">
      <c r="A92" s="98" t="s">
        <v>129</v>
      </c>
      <c r="B92" s="22" t="s">
        <v>130</v>
      </c>
      <c r="C92" s="99" t="s">
        <v>38</v>
      </c>
      <c r="D92" s="99" t="s">
        <v>19</v>
      </c>
    </row>
    <row r="93" spans="1:4">
      <c r="A93" s="98" t="s">
        <v>42</v>
      </c>
      <c r="B93" t="s">
        <v>132</v>
      </c>
      <c r="C93" s="122">
        <f>(((1+1/3)/12)/12)+((1/12)/12)</f>
        <v>0.0162037037037037</v>
      </c>
      <c r="D93" s="105">
        <f>TRUNC(($D$88*C93),2)</f>
        <v>52.42</v>
      </c>
    </row>
    <row r="94" spans="1:4">
      <c r="A94" s="98" t="s">
        <v>45</v>
      </c>
      <c r="B94" t="s">
        <v>133</v>
      </c>
      <c r="C94" s="117">
        <f>((5/30)/12)</f>
        <v>0.0138888888888889</v>
      </c>
      <c r="D94" s="120">
        <f>TRUNC(($D$88*C94),2)</f>
        <v>44.93</v>
      </c>
    </row>
    <row r="95" spans="1:4">
      <c r="A95" s="98" t="s">
        <v>48</v>
      </c>
      <c r="B95" t="s">
        <v>134</v>
      </c>
      <c r="C95" s="117">
        <f>((5/30)/12)*0.02</f>
        <v>0.000277777777777778</v>
      </c>
      <c r="D95" s="120">
        <f t="shared" ref="D93:D97" si="2">TRUNC(($D$88*C95),2)</f>
        <v>0.89</v>
      </c>
    </row>
    <row r="96" spans="1:4">
      <c r="A96" s="98" t="s">
        <v>50</v>
      </c>
      <c r="B96" s="123" t="s">
        <v>135</v>
      </c>
      <c r="C96" s="124">
        <f>((15/30)/12)*0.08</f>
        <v>0.00333333333333333</v>
      </c>
      <c r="D96" s="120">
        <f t="shared" si="2"/>
        <v>10.78</v>
      </c>
    </row>
    <row r="97" spans="1:4">
      <c r="A97" s="98" t="s">
        <v>53</v>
      </c>
      <c r="B97" t="s">
        <v>136</v>
      </c>
      <c r="C97" s="117">
        <f>((1+1/3)/12)*0.00001*((4/12))</f>
        <v>3.7037037037037e-7</v>
      </c>
      <c r="D97" s="120">
        <f t="shared" si="2"/>
        <v>0</v>
      </c>
    </row>
    <row r="98" spans="1:4">
      <c r="A98" s="98" t="s">
        <v>55</v>
      </c>
      <c r="B98" s="123" t="s">
        <v>217</v>
      </c>
      <c r="C98" s="127">
        <v>0</v>
      </c>
      <c r="D98" s="120">
        <f>TRUNC($D$88*C98)</f>
        <v>0</v>
      </c>
    </row>
    <row r="99" spans="1:4">
      <c r="A99" s="98" t="s">
        <v>58</v>
      </c>
      <c r="C99" s="122">
        <f>SUBTOTAL(109,Submódulo4.159_80[Percentual])</f>
        <v>0.0337040740740741</v>
      </c>
      <c r="D99" s="105">
        <f>TRUNC((SUM(D93:D98)),2)</f>
        <v>109.02</v>
      </c>
    </row>
    <row r="100" spans="1:4">
      <c r="A100" s="98"/>
      <c r="C100" s="99"/>
      <c r="D100" s="105"/>
    </row>
    <row r="101" spans="1:4">
      <c r="A101" s="109" t="s">
        <v>144</v>
      </c>
      <c r="B101" s="97"/>
      <c r="C101" s="97"/>
      <c r="D101" s="97"/>
    </row>
    <row r="102" spans="1:4">
      <c r="A102" s="98" t="s">
        <v>145</v>
      </c>
      <c r="B102" s="22" t="s">
        <v>146</v>
      </c>
      <c r="C102" s="99" t="s">
        <v>18</v>
      </c>
      <c r="D102" s="99" t="s">
        <v>19</v>
      </c>
    </row>
    <row r="103" ht="72" spans="1:4">
      <c r="A103" s="98" t="s">
        <v>42</v>
      </c>
      <c r="B103" s="128" t="s">
        <v>147</v>
      </c>
      <c r="C103" s="129" t="s">
        <v>218</v>
      </c>
      <c r="D103" s="130" t="s">
        <v>219</v>
      </c>
    </row>
    <row r="104" spans="1:4">
      <c r="A104" s="98" t="s">
        <v>58</v>
      </c>
      <c r="C104" s="131"/>
      <c r="D104" s="132" t="str">
        <f>D103</f>
        <v>*=TRUNCAR(($D$86/220)*(1*(365/12))/2)</v>
      </c>
    </row>
    <row r="106" spans="1:4">
      <c r="A106" s="109" t="s">
        <v>148</v>
      </c>
      <c r="B106" s="97"/>
      <c r="C106" s="97"/>
      <c r="D106" s="97"/>
    </row>
    <row r="107" spans="1:4">
      <c r="A107" s="98" t="s">
        <v>149</v>
      </c>
      <c r="B107" s="22" t="s">
        <v>150</v>
      </c>
      <c r="C107" s="99" t="s">
        <v>18</v>
      </c>
      <c r="D107" s="99" t="s">
        <v>19</v>
      </c>
    </row>
    <row r="108" spans="1:4">
      <c r="A108" s="98" t="s">
        <v>129</v>
      </c>
      <c r="B108" t="s">
        <v>130</v>
      </c>
      <c r="D108" s="101">
        <f>D99</f>
        <v>109.02</v>
      </c>
    </row>
    <row r="109" spans="1:4">
      <c r="A109" s="98" t="s">
        <v>145</v>
      </c>
      <c r="B109" t="s">
        <v>151</v>
      </c>
      <c r="C109" s="22"/>
      <c r="D109" s="133" t="str">
        <f>Submódulo4.260_81[[#Totals],[Valor]]</f>
        <v>*=TRUNCAR(($D$86/220)*(1*(365/12))/2)</v>
      </c>
    </row>
    <row r="110" ht="43.2" spans="1:4">
      <c r="A110" s="98" t="s">
        <v>58</v>
      </c>
      <c r="B110" s="119"/>
      <c r="C110" s="129" t="s">
        <v>220</v>
      </c>
      <c r="D110" s="134">
        <f>TRUNC((SUM(D108:D109)),2)</f>
        <v>109.02</v>
      </c>
    </row>
    <row r="112" spans="1:4">
      <c r="A112" s="76" t="s">
        <v>152</v>
      </c>
      <c r="B112" s="77"/>
      <c r="C112" s="77"/>
      <c r="D112" s="77"/>
    </row>
    <row r="113" ht="29.55" spans="1:9">
      <c r="A113" s="98" t="s">
        <v>153</v>
      </c>
      <c r="B113" s="22" t="s">
        <v>154</v>
      </c>
      <c r="C113" s="99" t="s">
        <v>18</v>
      </c>
      <c r="D113" s="99" t="s">
        <v>19</v>
      </c>
      <c r="F113" s="135" t="s">
        <v>221</v>
      </c>
      <c r="G113" s="136" t="s">
        <v>222</v>
      </c>
      <c r="H113" s="136" t="s">
        <v>223</v>
      </c>
      <c r="I113" s="136" t="s">
        <v>224</v>
      </c>
    </row>
    <row r="114" ht="15.9" spans="1:9">
      <c r="A114" s="98" t="s">
        <v>42</v>
      </c>
      <c r="B114" t="s">
        <v>225</v>
      </c>
      <c r="D114" s="137">
        <f>'Uniformes e EPI'!G106</f>
        <v>102.41</v>
      </c>
      <c r="F114" s="138" t="s">
        <v>226</v>
      </c>
      <c r="G114" s="139">
        <v>0</v>
      </c>
      <c r="H114" s="140">
        <v>70</v>
      </c>
      <c r="I114" s="140">
        <f>TRUNC(H114*G114,2)</f>
        <v>0</v>
      </c>
    </row>
    <row r="115" ht="15.9" spans="1:9">
      <c r="A115" s="98" t="s">
        <v>45</v>
      </c>
      <c r="B115" t="s">
        <v>227</v>
      </c>
      <c r="D115" s="137">
        <f>EPC!E21</f>
        <v>24.5</v>
      </c>
      <c r="F115" s="141" t="s">
        <v>228</v>
      </c>
      <c r="G115" s="142">
        <v>0</v>
      </c>
      <c r="H115" s="143">
        <v>35</v>
      </c>
      <c r="I115" s="140">
        <f>TRUNC(H115*G115,2)</f>
        <v>0</v>
      </c>
    </row>
    <row r="116" ht="15.15" spans="1:9">
      <c r="A116" s="98" t="s">
        <v>48</v>
      </c>
      <c r="B116" t="s">
        <v>156</v>
      </c>
      <c r="D116" s="137">
        <f>'Equipamentos e Materiais'!E101</f>
        <v>215.12</v>
      </c>
      <c r="F116" s="144" t="s">
        <v>207</v>
      </c>
      <c r="G116" s="145"/>
      <c r="H116" s="146">
        <f>TRUNC(SUM(I114:I115),2)</f>
        <v>0</v>
      </c>
      <c r="I116" s="149"/>
    </row>
    <row r="117" spans="1:9">
      <c r="A117" s="98" t="s">
        <v>50</v>
      </c>
      <c r="B117" t="s">
        <v>157</v>
      </c>
      <c r="D117" s="137">
        <f>'Equipamentos e Materiais'!F132</f>
        <v>15.37</v>
      </c>
      <c r="F117" s="144" t="s">
        <v>229</v>
      </c>
      <c r="G117" s="145"/>
      <c r="H117" s="146">
        <f>TRUNC(H116/12,2)</f>
        <v>0</v>
      </c>
      <c r="I117" s="149"/>
    </row>
    <row r="118" spans="1:9">
      <c r="A118" s="98" t="s">
        <v>53</v>
      </c>
      <c r="B118" t="s">
        <v>230</v>
      </c>
      <c r="D118" s="137">
        <f>H117</f>
        <v>0</v>
      </c>
      <c r="F118" s="147" t="s">
        <v>232</v>
      </c>
      <c r="G118" s="147"/>
      <c r="H118" s="147"/>
      <c r="I118" s="147"/>
    </row>
    <row r="119" spans="1:9">
      <c r="A119" s="98" t="s">
        <v>58</v>
      </c>
      <c r="D119" s="148">
        <f>TRUNC(SUM(D114:D118),2)</f>
        <v>357.4</v>
      </c>
      <c r="F119" s="147"/>
      <c r="G119" s="147"/>
      <c r="H119" s="147"/>
      <c r="I119" s="147"/>
    </row>
    <row r="120" ht="15.15"/>
    <row r="121" ht="15.9" spans="1:4">
      <c r="A121" s="107" t="s">
        <v>233</v>
      </c>
      <c r="B121" s="107"/>
      <c r="C121" s="112" t="s">
        <v>205</v>
      </c>
      <c r="D121" s="113">
        <f>D31</f>
        <v>1619.68</v>
      </c>
    </row>
    <row r="122" ht="15.9" spans="1:4">
      <c r="A122" s="107"/>
      <c r="B122" s="107"/>
      <c r="C122" s="114" t="s">
        <v>215</v>
      </c>
      <c r="D122" s="113">
        <f>D73</f>
        <v>1517.86</v>
      </c>
    </row>
    <row r="123" ht="15.9" spans="1:4">
      <c r="A123" s="107"/>
      <c r="B123" s="107"/>
      <c r="C123" s="112" t="s">
        <v>216</v>
      </c>
      <c r="D123" s="113">
        <f>D83</f>
        <v>97.86</v>
      </c>
    </row>
    <row r="124" ht="15.9" spans="1:4">
      <c r="A124" s="107"/>
      <c r="B124" s="107"/>
      <c r="C124" s="114" t="s">
        <v>234</v>
      </c>
      <c r="D124" s="113">
        <f>D110</f>
        <v>109.02</v>
      </c>
    </row>
    <row r="125" ht="15.9" spans="1:4">
      <c r="A125" s="107"/>
      <c r="B125" s="107"/>
      <c r="C125" s="112" t="s">
        <v>235</v>
      </c>
      <c r="D125" s="113">
        <f>D119</f>
        <v>357.4</v>
      </c>
    </row>
    <row r="126" ht="15.9" spans="1:4">
      <c r="A126" s="107"/>
      <c r="B126" s="107"/>
      <c r="C126" s="114" t="s">
        <v>207</v>
      </c>
      <c r="D126" s="115">
        <f>TRUNC((SUM(D121:D125)),2)</f>
        <v>3701.82</v>
      </c>
    </row>
    <row r="127" ht="15.15"/>
    <row r="128" spans="1:4">
      <c r="A128" s="76" t="s">
        <v>164</v>
      </c>
      <c r="B128" s="77"/>
      <c r="C128" s="77"/>
      <c r="D128" s="77"/>
    </row>
    <row r="129" ht="15.15" spans="1:7">
      <c r="A129" s="98" t="s">
        <v>165</v>
      </c>
      <c r="B129" t="s">
        <v>166</v>
      </c>
      <c r="C129" s="99" t="s">
        <v>38</v>
      </c>
      <c r="D129" s="99" t="s">
        <v>19</v>
      </c>
      <c r="F129" s="135" t="s">
        <v>236</v>
      </c>
      <c r="G129" s="135"/>
    </row>
    <row r="130" ht="15.15" spans="1:7">
      <c r="A130" s="98" t="s">
        <v>42</v>
      </c>
      <c r="B130" t="s">
        <v>167</v>
      </c>
      <c r="C130" s="117">
        <v>0.04</v>
      </c>
      <c r="D130" s="101">
        <f>TRUNC(($D$126*C130),2)</f>
        <v>148.07</v>
      </c>
      <c r="F130" s="138" t="s">
        <v>237</v>
      </c>
      <c r="G130" s="124">
        <f>C132</f>
        <v>0.0865</v>
      </c>
    </row>
    <row r="131" ht="15.15" spans="1:7">
      <c r="A131" s="98" t="s">
        <v>45</v>
      </c>
      <c r="B131" t="s">
        <v>59</v>
      </c>
      <c r="C131" s="117">
        <v>0.05</v>
      </c>
      <c r="D131" s="101">
        <f>TRUNC((C131*(D126+D130)),2)</f>
        <v>192.49</v>
      </c>
      <c r="F131" s="150" t="s">
        <v>238</v>
      </c>
      <c r="G131" s="159">
        <f>TRUNC(SUM(D126,D130,D131),2)</f>
        <v>4042.38</v>
      </c>
    </row>
    <row r="132" ht="15.15" spans="1:7">
      <c r="A132" s="98" t="s">
        <v>48</v>
      </c>
      <c r="B132" t="s">
        <v>168</v>
      </c>
      <c r="C132" s="117">
        <f>SUM(C133:C135)</f>
        <v>0.0865</v>
      </c>
      <c r="D132" s="101">
        <f>TRUNC((SUM(D133:D135)),2)</f>
        <v>382.76</v>
      </c>
      <c r="F132" s="138" t="s">
        <v>239</v>
      </c>
      <c r="G132" s="152">
        <f>(100-8.65)/100</f>
        <v>0.9135</v>
      </c>
    </row>
    <row r="133" ht="15.15" spans="1:7">
      <c r="A133" s="98"/>
      <c r="B133" t="s">
        <v>240</v>
      </c>
      <c r="C133" s="117">
        <v>0.0065</v>
      </c>
      <c r="D133" s="101">
        <f t="shared" ref="D133:D135" si="3">TRUNC(($G$133*C133),2)</f>
        <v>28.76</v>
      </c>
      <c r="F133" s="150" t="s">
        <v>236</v>
      </c>
      <c r="G133" s="159">
        <f>TRUNC((G131/G132),2)</f>
        <v>4425.15</v>
      </c>
    </row>
    <row r="134" ht="15.15" spans="1:4">
      <c r="A134" s="98"/>
      <c r="B134" t="s">
        <v>241</v>
      </c>
      <c r="C134" s="117">
        <v>0.03</v>
      </c>
      <c r="D134" s="101">
        <f t="shared" si="3"/>
        <v>132.75</v>
      </c>
    </row>
    <row r="135" spans="1:4">
      <c r="A135" s="98"/>
      <c r="B135" t="s">
        <v>242</v>
      </c>
      <c r="C135" s="117">
        <v>0.05</v>
      </c>
      <c r="D135" s="101">
        <f t="shared" si="3"/>
        <v>221.25</v>
      </c>
    </row>
    <row r="136" spans="1:4">
      <c r="A136" s="98" t="s">
        <v>58</v>
      </c>
      <c r="C136" s="153"/>
      <c r="D136" s="105">
        <f>TRUNC(SUM(D130:D132),2)</f>
        <v>723.32</v>
      </c>
    </row>
    <row r="137" spans="1:4">
      <c r="A137" s="98"/>
      <c r="C137" s="153"/>
      <c r="D137" s="105"/>
    </row>
    <row r="139" spans="1:4">
      <c r="A139" s="76" t="s">
        <v>172</v>
      </c>
      <c r="B139" s="77"/>
      <c r="C139" s="77"/>
      <c r="D139" s="77"/>
    </row>
    <row r="140" spans="1:4">
      <c r="A140" s="98" t="s">
        <v>16</v>
      </c>
      <c r="B140" s="99" t="s">
        <v>173</v>
      </c>
      <c r="C140" s="99" t="s">
        <v>102</v>
      </c>
      <c r="D140" s="99" t="s">
        <v>19</v>
      </c>
    </row>
    <row r="141" spans="1:4">
      <c r="A141" s="98" t="s">
        <v>42</v>
      </c>
      <c r="B141" t="s">
        <v>36</v>
      </c>
      <c r="D141" s="105">
        <f>D31</f>
        <v>1619.68</v>
      </c>
    </row>
    <row r="142" spans="1:4">
      <c r="A142" s="98" t="s">
        <v>45</v>
      </c>
      <c r="B142" t="s">
        <v>61</v>
      </c>
      <c r="D142" s="105">
        <f>D73</f>
        <v>1517.86</v>
      </c>
    </row>
    <row r="143" spans="1:4">
      <c r="A143" s="98" t="s">
        <v>48</v>
      </c>
      <c r="B143" t="s">
        <v>108</v>
      </c>
      <c r="D143" s="105">
        <f>D83</f>
        <v>97.86</v>
      </c>
    </row>
    <row r="144" spans="1:4">
      <c r="A144" s="98" t="s">
        <v>50</v>
      </c>
      <c r="B144" t="s">
        <v>174</v>
      </c>
      <c r="D144" s="105">
        <f>D110</f>
        <v>109.02</v>
      </c>
    </row>
    <row r="145" spans="1:4">
      <c r="A145" s="98" t="s">
        <v>53</v>
      </c>
      <c r="B145" t="s">
        <v>152</v>
      </c>
      <c r="D145" s="105">
        <f>D119</f>
        <v>357.4</v>
      </c>
    </row>
    <row r="146" spans="2:4">
      <c r="B146" s="154" t="s">
        <v>243</v>
      </c>
      <c r="D146" s="105">
        <f>TRUNC(SUM(D141:D145),2)</f>
        <v>3701.82</v>
      </c>
    </row>
    <row r="147" spans="1:4">
      <c r="A147" s="98" t="s">
        <v>55</v>
      </c>
      <c r="B147" t="s">
        <v>164</v>
      </c>
      <c r="D147" s="105">
        <f>D136</f>
        <v>723.32</v>
      </c>
    </row>
    <row r="148" spans="1:4">
      <c r="A148" s="155"/>
      <c r="B148" s="156" t="s">
        <v>244</v>
      </c>
      <c r="C148" s="157"/>
      <c r="D148" s="158">
        <f>TRUNC((SUM(D141:D145)+D147),2)</f>
        <v>4425.14</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51" workbookViewId="0">
      <selection activeCell="B32" sqref="B32"/>
    </sheetView>
  </sheetViews>
  <sheetFormatPr defaultColWidth="9.13888888888889" defaultRowHeight="14.4"/>
  <cols>
    <col min="1" max="1" width="11.287037037037" style="52" customWidth="1"/>
    <col min="2" max="2" width="51.2222222222222" customWidth="1"/>
    <col min="3" max="3" width="30" customWidth="1"/>
    <col min="4" max="4" width="41" customWidth="1"/>
    <col min="6" max="6" width="22.8611111111111" customWidth="1"/>
    <col min="7" max="7" width="15.3888888888889" customWidth="1"/>
    <col min="8" max="8" width="10.787037037037" customWidth="1"/>
    <col min="9" max="9" width="11.9074074074074" customWidth="1"/>
  </cols>
  <sheetData>
    <row r="2" ht="18.75" spans="1:4">
      <c r="A2" s="67" t="s">
        <v>177</v>
      </c>
      <c r="B2" s="68"/>
      <c r="C2" s="68"/>
      <c r="D2" s="68"/>
    </row>
    <row r="3" ht="15.15" spans="1:4">
      <c r="A3" s="69" t="s">
        <v>178</v>
      </c>
      <c r="B3" s="70"/>
      <c r="C3" s="70"/>
      <c r="D3" s="70"/>
    </row>
    <row r="4" spans="1:4">
      <c r="A4" s="71" t="s">
        <v>179</v>
      </c>
      <c r="B4" s="72" t="s">
        <v>245</v>
      </c>
      <c r="C4" s="73"/>
      <c r="D4" s="73"/>
    </row>
    <row r="5" spans="1:4">
      <c r="A5" s="74"/>
      <c r="B5" s="75"/>
      <c r="C5" s="75"/>
      <c r="D5" s="75"/>
    </row>
    <row r="6" ht="15.15" spans="1:4">
      <c r="A6" s="76" t="s">
        <v>181</v>
      </c>
      <c r="B6" s="77"/>
      <c r="C6" s="77"/>
      <c r="D6" s="77"/>
    </row>
    <row r="7" ht="15.15" spans="1:4">
      <c r="A7" s="78" t="s">
        <v>42</v>
      </c>
      <c r="B7" s="79" t="s">
        <v>182</v>
      </c>
      <c r="C7" s="80" t="s">
        <v>183</v>
      </c>
      <c r="D7" s="80"/>
    </row>
    <row r="8" spans="1:4">
      <c r="A8" s="81" t="s">
        <v>45</v>
      </c>
      <c r="B8" s="82" t="s">
        <v>184</v>
      </c>
      <c r="C8" s="83" t="s">
        <v>185</v>
      </c>
      <c r="D8" s="83"/>
    </row>
    <row r="9" spans="1:4">
      <c r="A9" s="84" t="s">
        <v>48</v>
      </c>
      <c r="B9" s="85" t="s">
        <v>186</v>
      </c>
      <c r="C9" s="83" t="s">
        <v>187</v>
      </c>
      <c r="D9" s="83"/>
    </row>
    <row r="10" spans="1:4">
      <c r="A10" s="81" t="s">
        <v>53</v>
      </c>
      <c r="B10" s="82" t="s">
        <v>188</v>
      </c>
      <c r="C10" s="83" t="s">
        <v>189</v>
      </c>
      <c r="D10" s="83"/>
    </row>
    <row r="11" ht="15.15" spans="1:4">
      <c r="A11" s="86" t="s">
        <v>190</v>
      </c>
      <c r="B11" s="87"/>
      <c r="C11" s="87"/>
      <c r="D11" s="87"/>
    </row>
    <row r="12" ht="15.9" spans="1:4">
      <c r="A12" s="88" t="s">
        <v>191</v>
      </c>
      <c r="B12" s="89"/>
      <c r="C12" s="87" t="s">
        <v>192</v>
      </c>
      <c r="D12" s="90" t="s">
        <v>193</v>
      </c>
    </row>
    <row r="13" ht="15.15" spans="1:4">
      <c r="A13" s="91" t="s">
        <v>255</v>
      </c>
      <c r="B13" s="92"/>
      <c r="C13" s="83" t="s">
        <v>195</v>
      </c>
      <c r="D13" s="93">
        <v>1</v>
      </c>
    </row>
    <row r="14" spans="1:4">
      <c r="A14" s="94"/>
      <c r="B14" s="95"/>
      <c r="C14" s="83"/>
      <c r="D14" s="96"/>
    </row>
    <row r="15" ht="15.15" spans="1:7">
      <c r="A15" s="86" t="s">
        <v>14</v>
      </c>
      <c r="B15" s="87"/>
      <c r="C15" s="87"/>
      <c r="D15" s="87"/>
      <c r="F15" s="97"/>
      <c r="G15" s="97"/>
    </row>
    <row r="16" ht="15.15" spans="1:4">
      <c r="A16" s="98" t="s">
        <v>16</v>
      </c>
      <c r="B16" t="s">
        <v>17</v>
      </c>
      <c r="C16" s="99" t="s">
        <v>18</v>
      </c>
      <c r="D16" s="99" t="s">
        <v>19</v>
      </c>
    </row>
    <row r="17" spans="1:4">
      <c r="A17" s="98">
        <v>1</v>
      </c>
      <c r="B17" t="s">
        <v>20</v>
      </c>
      <c r="C17" s="100" t="s">
        <v>102</v>
      </c>
      <c r="D17" s="100" t="str">
        <f>A13</f>
        <v>Jardineiro</v>
      </c>
    </row>
    <row r="18" spans="1:4">
      <c r="A18" s="98">
        <v>2</v>
      </c>
      <c r="B18" t="s">
        <v>23</v>
      </c>
      <c r="C18" s="100" t="s">
        <v>196</v>
      </c>
      <c r="D18" s="100" t="s">
        <v>256</v>
      </c>
    </row>
    <row r="19" spans="1:4">
      <c r="A19" s="98">
        <v>3</v>
      </c>
      <c r="B19" t="s">
        <v>26</v>
      </c>
      <c r="C19" s="100" t="str">
        <f>C9</f>
        <v>CCT PB000517/2021</v>
      </c>
      <c r="D19" s="101">
        <v>1236.84</v>
      </c>
    </row>
    <row r="20" spans="1:4">
      <c r="A20" s="98">
        <v>4</v>
      </c>
      <c r="B20" t="s">
        <v>29</v>
      </c>
      <c r="C20" s="100" t="str">
        <f>C9</f>
        <v>CCT PB000517/2021</v>
      </c>
      <c r="D20" s="102" t="s">
        <v>198</v>
      </c>
    </row>
    <row r="21" spans="1:4">
      <c r="A21" s="98">
        <v>5</v>
      </c>
      <c r="B21" t="s">
        <v>33</v>
      </c>
      <c r="C21" s="100" t="str">
        <f>C9</f>
        <v>CCT PB000517/2021</v>
      </c>
      <c r="D21" s="103" t="s">
        <v>199</v>
      </c>
    </row>
    <row r="22" spans="6:7">
      <c r="F22" s="97"/>
      <c r="G22" s="97"/>
    </row>
    <row r="23" spans="1:4">
      <c r="A23" s="76" t="s">
        <v>36</v>
      </c>
      <c r="B23" s="77"/>
      <c r="C23" s="77"/>
      <c r="D23" s="77"/>
    </row>
    <row r="24" spans="1:7">
      <c r="A24" s="98" t="s">
        <v>39</v>
      </c>
      <c r="B24" s="22" t="s">
        <v>40</v>
      </c>
      <c r="C24" s="99" t="s">
        <v>18</v>
      </c>
      <c r="D24" s="99" t="s">
        <v>19</v>
      </c>
      <c r="G24" s="104"/>
    </row>
    <row r="25" spans="1:7">
      <c r="A25" s="98" t="s">
        <v>42</v>
      </c>
      <c r="B25" t="s">
        <v>43</v>
      </c>
      <c r="C25" s="102" t="s">
        <v>257</v>
      </c>
      <c r="D25" s="101">
        <f>D19</f>
        <v>1236.84</v>
      </c>
      <c r="G25" s="104"/>
    </row>
    <row r="26" spans="1:7">
      <c r="A26" s="98" t="s">
        <v>45</v>
      </c>
      <c r="B26" t="s">
        <v>201</v>
      </c>
      <c r="C26" s="102"/>
      <c r="D26" s="101">
        <v>0</v>
      </c>
      <c r="G26" s="104"/>
    </row>
    <row r="27" spans="1:4">
      <c r="A27" s="98" t="s">
        <v>48</v>
      </c>
      <c r="B27" t="s">
        <v>202</v>
      </c>
      <c r="C27" s="102"/>
      <c r="D27" s="101">
        <v>0</v>
      </c>
    </row>
    <row r="28" spans="1:4">
      <c r="A28" s="98" t="s">
        <v>50</v>
      </c>
      <c r="B28" t="s">
        <v>51</v>
      </c>
      <c r="C28" s="102"/>
      <c r="D28" s="101">
        <v>0</v>
      </c>
    </row>
    <row r="29" spans="1:4">
      <c r="A29" s="98" t="s">
        <v>53</v>
      </c>
      <c r="B29" t="s">
        <v>54</v>
      </c>
      <c r="C29" s="102"/>
      <c r="D29" s="101">
        <v>0</v>
      </c>
    </row>
    <row r="30" spans="1:4">
      <c r="A30" s="98" t="s">
        <v>55</v>
      </c>
      <c r="B30" t="s">
        <v>56</v>
      </c>
      <c r="C30" s="102"/>
      <c r="D30" s="101">
        <v>0</v>
      </c>
    </row>
    <row r="31" spans="1:7">
      <c r="A31" s="98" t="s">
        <v>58</v>
      </c>
      <c r="C31" s="99"/>
      <c r="D31" s="105">
        <f>TRUNC((SUM(D25:D30)),2)</f>
        <v>1236.84</v>
      </c>
      <c r="F31" s="97"/>
      <c r="G31" s="97"/>
    </row>
    <row r="32" spans="2:2">
      <c r="B32" s="106" t="s">
        <v>203</v>
      </c>
    </row>
    <row r="33" spans="1:7">
      <c r="A33" s="107" t="s">
        <v>61</v>
      </c>
      <c r="B33" s="108"/>
      <c r="C33" s="108"/>
      <c r="D33" s="108"/>
      <c r="G33" s="104"/>
    </row>
    <row r="35" spans="1:4">
      <c r="A35" s="109" t="s">
        <v>63</v>
      </c>
      <c r="B35" s="97"/>
      <c r="C35" s="97"/>
      <c r="D35" s="97"/>
    </row>
    <row r="36" spans="1:4">
      <c r="A36" s="98" t="s">
        <v>65</v>
      </c>
      <c r="B36" s="22" t="s">
        <v>66</v>
      </c>
      <c r="C36" s="99" t="s">
        <v>38</v>
      </c>
      <c r="D36" s="99" t="s">
        <v>19</v>
      </c>
    </row>
    <row r="37" spans="1:7">
      <c r="A37" s="98" t="s">
        <v>42</v>
      </c>
      <c r="B37" t="s">
        <v>67</v>
      </c>
      <c r="C37" s="110">
        <f>(1/12)</f>
        <v>0.0833333333333333</v>
      </c>
      <c r="D37" s="105">
        <f>TRUNC($D$31*C37,2)</f>
        <v>103.07</v>
      </c>
      <c r="F37" s="111"/>
      <c r="G37" s="111"/>
    </row>
    <row r="38" spans="1:7">
      <c r="A38" s="98" t="s">
        <v>45</v>
      </c>
      <c r="B38" t="s">
        <v>68</v>
      </c>
      <c r="C38" s="110">
        <f>(((1+1/3)/12))</f>
        <v>0.111111111111111</v>
      </c>
      <c r="D38" s="105">
        <f>TRUNC($D$31*C38,2)</f>
        <v>137.42</v>
      </c>
      <c r="F38" s="111"/>
      <c r="G38" s="111"/>
    </row>
    <row r="39" spans="1:7">
      <c r="A39" s="98" t="s">
        <v>58</v>
      </c>
      <c r="D39" s="105">
        <f>TRUNC((SUM(D37:D38)),2)</f>
        <v>240.49</v>
      </c>
      <c r="F39" s="111"/>
      <c r="G39" s="111"/>
    </row>
    <row r="40" ht="15.15" spans="4:7">
      <c r="D40" s="105"/>
      <c r="F40" s="111"/>
      <c r="G40" s="111"/>
    </row>
    <row r="41" ht="15.9" spans="1:7">
      <c r="A41" s="107" t="s">
        <v>204</v>
      </c>
      <c r="B41" s="107"/>
      <c r="C41" s="112" t="s">
        <v>205</v>
      </c>
      <c r="D41" s="113">
        <f>D31</f>
        <v>1236.84</v>
      </c>
      <c r="F41" s="111"/>
      <c r="G41" s="111"/>
    </row>
    <row r="42" ht="15.9" spans="1:7">
      <c r="A42" s="107"/>
      <c r="B42" s="107"/>
      <c r="C42" s="114" t="s">
        <v>206</v>
      </c>
      <c r="D42" s="113">
        <f>D39</f>
        <v>240.49</v>
      </c>
      <c r="F42" s="111"/>
      <c r="G42" s="111"/>
    </row>
    <row r="43" ht="15.9" spans="1:7">
      <c r="A43" s="107"/>
      <c r="B43" s="107"/>
      <c r="C43" s="112" t="s">
        <v>207</v>
      </c>
      <c r="D43" s="115">
        <f>TRUNC((SUM(D41:D42)),2)</f>
        <v>1477.33</v>
      </c>
      <c r="F43" s="111"/>
      <c r="G43" s="111"/>
    </row>
    <row r="44" ht="15.15" spans="1:7">
      <c r="A44" s="98"/>
      <c r="C44" s="116"/>
      <c r="D44" s="105"/>
      <c r="F44" s="111"/>
      <c r="G44" s="111"/>
    </row>
    <row r="45" spans="1:4">
      <c r="A45" s="109" t="s">
        <v>77</v>
      </c>
      <c r="B45" s="97"/>
      <c r="C45" s="97"/>
      <c r="D45" s="97"/>
    </row>
    <row r="46" spans="1:4">
      <c r="A46" s="98" t="s">
        <v>78</v>
      </c>
      <c r="B46" s="22" t="s">
        <v>79</v>
      </c>
      <c r="C46" s="99" t="s">
        <v>38</v>
      </c>
      <c r="D46" s="99" t="s">
        <v>80</v>
      </c>
    </row>
    <row r="47" spans="1:4">
      <c r="A47" s="98" t="s">
        <v>42</v>
      </c>
      <c r="B47" t="s">
        <v>81</v>
      </c>
      <c r="C47" s="110">
        <v>0.2</v>
      </c>
      <c r="D47" s="105">
        <f t="shared" ref="D47:D54" si="0">TRUNC(($D$43*C47),2)</f>
        <v>295.46</v>
      </c>
    </row>
    <row r="48" spans="1:4">
      <c r="A48" s="98" t="s">
        <v>45</v>
      </c>
      <c r="B48" t="s">
        <v>82</v>
      </c>
      <c r="C48" s="110">
        <v>0.025</v>
      </c>
      <c r="D48" s="105">
        <f t="shared" si="0"/>
        <v>36.93</v>
      </c>
    </row>
    <row r="49" spans="1:4">
      <c r="A49" s="98" t="s">
        <v>48</v>
      </c>
      <c r="B49" t="s">
        <v>208</v>
      </c>
      <c r="C49" s="117">
        <v>0.06</v>
      </c>
      <c r="D49" s="101">
        <f t="shared" si="0"/>
        <v>88.63</v>
      </c>
    </row>
    <row r="50" spans="1:4">
      <c r="A50" s="98" t="s">
        <v>50</v>
      </c>
      <c r="B50" t="s">
        <v>84</v>
      </c>
      <c r="C50" s="110">
        <v>0.015</v>
      </c>
      <c r="D50" s="105">
        <f t="shared" si="0"/>
        <v>22.15</v>
      </c>
    </row>
    <row r="51" spans="1:4">
      <c r="A51" s="98" t="s">
        <v>53</v>
      </c>
      <c r="B51" t="s">
        <v>85</v>
      </c>
      <c r="C51" s="110">
        <v>0.01</v>
      </c>
      <c r="D51" s="105">
        <f t="shared" si="0"/>
        <v>14.77</v>
      </c>
    </row>
    <row r="52" spans="1:4">
      <c r="A52" s="98" t="s">
        <v>55</v>
      </c>
      <c r="B52" t="s">
        <v>86</v>
      </c>
      <c r="C52" s="110">
        <v>0.006</v>
      </c>
      <c r="D52" s="105">
        <f t="shared" si="0"/>
        <v>8.86</v>
      </c>
    </row>
    <row r="53" spans="1:4">
      <c r="A53" s="98" t="s">
        <v>87</v>
      </c>
      <c r="B53" t="s">
        <v>88</v>
      </c>
      <c r="C53" s="110">
        <v>0.002</v>
      </c>
      <c r="D53" s="105">
        <f t="shared" si="0"/>
        <v>2.95</v>
      </c>
    </row>
    <row r="54" spans="1:4">
      <c r="A54" s="98" t="s">
        <v>89</v>
      </c>
      <c r="B54" t="s">
        <v>90</v>
      </c>
      <c r="C54" s="110">
        <v>0.08</v>
      </c>
      <c r="D54" s="105">
        <f t="shared" si="0"/>
        <v>118.18</v>
      </c>
    </row>
    <row r="55" spans="1:4">
      <c r="A55" s="98" t="s">
        <v>58</v>
      </c>
      <c r="C55" s="116">
        <f>SUM(C47:C54)</f>
        <v>0.398</v>
      </c>
      <c r="D55" s="105">
        <f>TRUNC((SUM(D47:D54)),2)</f>
        <v>587.93</v>
      </c>
    </row>
    <row r="56" spans="1:4">
      <c r="A56" s="98"/>
      <c r="C56" s="116"/>
      <c r="D56" s="105"/>
    </row>
    <row r="57" spans="1:4">
      <c r="A57" s="109" t="s">
        <v>95</v>
      </c>
      <c r="B57" s="97"/>
      <c r="C57" s="97"/>
      <c r="D57" s="97"/>
    </row>
    <row r="58" spans="1:4">
      <c r="A58" s="98" t="s">
        <v>96</v>
      </c>
      <c r="B58" s="22" t="s">
        <v>97</v>
      </c>
      <c r="C58" s="99" t="s">
        <v>18</v>
      </c>
      <c r="D58" s="99" t="s">
        <v>19</v>
      </c>
    </row>
    <row r="59" spans="1:4">
      <c r="A59" s="98" t="s">
        <v>42</v>
      </c>
      <c r="B59" t="s">
        <v>98</v>
      </c>
      <c r="C59" s="100"/>
      <c r="D59" s="118">
        <v>0</v>
      </c>
    </row>
    <row r="60" spans="1:4">
      <c r="A60" s="98" t="s">
        <v>45</v>
      </c>
      <c r="B60" t="s">
        <v>99</v>
      </c>
      <c r="C60" s="100" t="str">
        <f>C9</f>
        <v>CCT PB000517/2021</v>
      </c>
      <c r="D60" s="101">
        <f>TRUNC((((22*20.91))-(((22*20.91))*0.2)),2)</f>
        <v>368.01</v>
      </c>
    </row>
    <row r="61" spans="1:4">
      <c r="A61" s="98" t="s">
        <v>48</v>
      </c>
      <c r="B61" t="s">
        <v>100</v>
      </c>
      <c r="C61" s="100"/>
      <c r="D61" s="101">
        <v>0</v>
      </c>
    </row>
    <row r="62" spans="1:6">
      <c r="A62" s="98" t="s">
        <v>50</v>
      </c>
      <c r="B62" s="119" t="s">
        <v>209</v>
      </c>
      <c r="C62" s="120"/>
      <c r="D62" s="120">
        <v>0</v>
      </c>
      <c r="F62" s="119"/>
    </row>
    <row r="63" spans="1:4">
      <c r="A63" s="98" t="s">
        <v>53</v>
      </c>
      <c r="B63" s="22" t="s">
        <v>210</v>
      </c>
      <c r="C63" s="100" t="str">
        <f>C60</f>
        <v>CCT PB000517/2021</v>
      </c>
      <c r="D63" s="101">
        <v>20</v>
      </c>
    </row>
    <row r="64" spans="1:4">
      <c r="A64" s="98" t="s">
        <v>55</v>
      </c>
      <c r="B64" s="121" t="s">
        <v>211</v>
      </c>
      <c r="C64" s="100" t="str">
        <f>C9</f>
        <v>CCT PB000517/2021</v>
      </c>
      <c r="D64" s="101">
        <v>5</v>
      </c>
    </row>
    <row r="65" spans="1:4">
      <c r="A65" s="98" t="s">
        <v>87</v>
      </c>
      <c r="B65" s="121" t="s">
        <v>212</v>
      </c>
      <c r="C65" s="120" t="str">
        <f>C60</f>
        <v>CCT PB000517/2021</v>
      </c>
      <c r="D65" s="101">
        <v>40</v>
      </c>
    </row>
    <row r="66" spans="1:4">
      <c r="A66" s="98" t="s">
        <v>58</v>
      </c>
      <c r="D66" s="105">
        <f>TRUNC((SUM(D59:D65)),2)</f>
        <v>433.01</v>
      </c>
    </row>
    <row r="67" spans="1:4">
      <c r="A67" s="98"/>
      <c r="D67" s="105"/>
    </row>
    <row r="68" spans="1:4">
      <c r="A68" s="109" t="s">
        <v>105</v>
      </c>
      <c r="B68" s="97"/>
      <c r="C68" s="97"/>
      <c r="D68" s="97"/>
    </row>
    <row r="69" spans="1:4">
      <c r="A69" s="98" t="s">
        <v>106</v>
      </c>
      <c r="B69" s="22" t="s">
        <v>107</v>
      </c>
      <c r="C69" s="99" t="s">
        <v>18</v>
      </c>
      <c r="D69" s="99" t="s">
        <v>19</v>
      </c>
    </row>
    <row r="70" spans="1:4">
      <c r="A70" s="98" t="s">
        <v>65</v>
      </c>
      <c r="B70" t="s">
        <v>66</v>
      </c>
      <c r="C70" s="99"/>
      <c r="D70" s="105">
        <f>D39</f>
        <v>240.49</v>
      </c>
    </row>
    <row r="71" spans="1:4">
      <c r="A71" s="98" t="s">
        <v>78</v>
      </c>
      <c r="B71" t="s">
        <v>79</v>
      </c>
      <c r="C71" s="99"/>
      <c r="D71" s="105">
        <f>D55</f>
        <v>587.93</v>
      </c>
    </row>
    <row r="72" spans="1:4">
      <c r="A72" s="98" t="s">
        <v>96</v>
      </c>
      <c r="B72" t="s">
        <v>97</v>
      </c>
      <c r="C72" s="99"/>
      <c r="D72" s="105">
        <f>D66</f>
        <v>433.01</v>
      </c>
    </row>
    <row r="73" spans="1:4">
      <c r="A73" s="98" t="s">
        <v>58</v>
      </c>
      <c r="C73" s="99"/>
      <c r="D73" s="105">
        <f>TRUNC((SUM(D70:D72)),2)</f>
        <v>1261.43</v>
      </c>
    </row>
    <row r="75" spans="1:4">
      <c r="A75" s="76" t="s">
        <v>108</v>
      </c>
      <c r="B75" s="77"/>
      <c r="C75" s="77"/>
      <c r="D75" s="77"/>
    </row>
    <row r="76" spans="1:4">
      <c r="A76" s="98" t="s">
        <v>109</v>
      </c>
      <c r="B76" s="22" t="s">
        <v>110</v>
      </c>
      <c r="C76" s="99" t="s">
        <v>38</v>
      </c>
      <c r="D76" s="99" t="s">
        <v>19</v>
      </c>
    </row>
    <row r="77" spans="1:4">
      <c r="A77" s="98" t="s">
        <v>42</v>
      </c>
      <c r="B77" t="s">
        <v>111</v>
      </c>
      <c r="C77" s="117">
        <f>((1/12)*2%)</f>
        <v>0.00166666666666667</v>
      </c>
      <c r="D77" s="101">
        <f t="shared" ref="D77:D80" si="1">TRUNC(($D$31*C77),2)</f>
        <v>2.06</v>
      </c>
    </row>
    <row r="78" spans="1:4">
      <c r="A78" s="98" t="s">
        <v>45</v>
      </c>
      <c r="B78" t="s">
        <v>112</v>
      </c>
      <c r="C78" s="122">
        <v>0.08</v>
      </c>
      <c r="D78" s="105">
        <f>TRUNC(($D$77*C78),2)</f>
        <v>0.16</v>
      </c>
    </row>
    <row r="79" ht="28.8" spans="1:4">
      <c r="A79" s="98" t="s">
        <v>48</v>
      </c>
      <c r="B79" s="123" t="s">
        <v>113</v>
      </c>
      <c r="C79" s="124">
        <f>(0.08*0.4*0.02)</f>
        <v>0.00064</v>
      </c>
      <c r="D79" s="120">
        <f t="shared" si="1"/>
        <v>0.79</v>
      </c>
    </row>
    <row r="80" spans="1:4">
      <c r="A80" s="98" t="s">
        <v>50</v>
      </c>
      <c r="B80" t="s">
        <v>114</v>
      </c>
      <c r="C80" s="122">
        <f>(((7/30)/12)*0.98)</f>
        <v>0.0190555555555556</v>
      </c>
      <c r="D80" s="105">
        <f t="shared" si="1"/>
        <v>23.56</v>
      </c>
    </row>
    <row r="81" ht="28.8" spans="1:4">
      <c r="A81" s="98" t="s">
        <v>53</v>
      </c>
      <c r="B81" s="123" t="s">
        <v>213</v>
      </c>
      <c r="C81" s="124">
        <f>C55</f>
        <v>0.398</v>
      </c>
      <c r="D81" s="120">
        <f>TRUNC(($D$80*C81),2)</f>
        <v>9.37</v>
      </c>
    </row>
    <row r="82" ht="28.8" spans="1:4">
      <c r="A82" s="98" t="s">
        <v>55</v>
      </c>
      <c r="B82" s="123" t="s">
        <v>115</v>
      </c>
      <c r="C82" s="124">
        <f>(0.08*0.4*0.98)</f>
        <v>0.03136</v>
      </c>
      <c r="D82" s="120">
        <f>TRUNC(($D$31*C82),2)</f>
        <v>38.78</v>
      </c>
    </row>
    <row r="83" spans="1:4">
      <c r="A83" s="98" t="s">
        <v>58</v>
      </c>
      <c r="C83" s="122">
        <f>SUM(C77:C82)</f>
        <v>0.530722222222222</v>
      </c>
      <c r="D83" s="105">
        <f>TRUNC((SUM(D77:D82)),2)</f>
        <v>74.72</v>
      </c>
    </row>
    <row r="84" ht="15.15" spans="1:4">
      <c r="A84" s="98"/>
      <c r="D84" s="105"/>
    </row>
    <row r="85" ht="15.9" spans="1:4">
      <c r="A85" s="107" t="s">
        <v>214</v>
      </c>
      <c r="B85" s="107"/>
      <c r="C85" s="112" t="s">
        <v>205</v>
      </c>
      <c r="D85" s="113">
        <f>D31</f>
        <v>1236.84</v>
      </c>
    </row>
    <row r="86" ht="15.9" spans="1:4">
      <c r="A86" s="107"/>
      <c r="B86" s="107"/>
      <c r="C86" s="114" t="s">
        <v>215</v>
      </c>
      <c r="D86" s="113">
        <f>D73</f>
        <v>1261.43</v>
      </c>
    </row>
    <row r="87" ht="15.9" spans="1:4">
      <c r="A87" s="107"/>
      <c r="B87" s="107"/>
      <c r="C87" s="112" t="s">
        <v>216</v>
      </c>
      <c r="D87" s="113">
        <f>D83</f>
        <v>74.72</v>
      </c>
    </row>
    <row r="88" ht="15.9" spans="1:4">
      <c r="A88" s="107"/>
      <c r="B88" s="107"/>
      <c r="C88" s="114" t="s">
        <v>207</v>
      </c>
      <c r="D88" s="115">
        <f>TRUNC((SUM(D85:D87)),2)</f>
        <v>2572.99</v>
      </c>
    </row>
    <row r="89" ht="15.15" spans="1:4">
      <c r="A89" s="98"/>
      <c r="D89" s="105"/>
    </row>
    <row r="90" spans="1:4">
      <c r="A90" s="125" t="s">
        <v>127</v>
      </c>
      <c r="B90" s="126"/>
      <c r="C90" s="126"/>
      <c r="D90" s="126"/>
    </row>
    <row r="91" spans="1:4">
      <c r="A91" s="109" t="s">
        <v>128</v>
      </c>
      <c r="B91" s="97"/>
      <c r="C91" s="97"/>
      <c r="D91" s="97"/>
    </row>
    <row r="92" spans="1:4">
      <c r="A92" s="98" t="s">
        <v>129</v>
      </c>
      <c r="B92" s="22" t="s">
        <v>130</v>
      </c>
      <c r="C92" s="99" t="s">
        <v>38</v>
      </c>
      <c r="D92" s="99" t="s">
        <v>19</v>
      </c>
    </row>
    <row r="93" spans="1:4">
      <c r="A93" s="98" t="s">
        <v>42</v>
      </c>
      <c r="B93" t="s">
        <v>132</v>
      </c>
      <c r="C93" s="122">
        <f>(((1+1/3)/12)/12)+((1/12)/12)</f>
        <v>0.0162037037037037</v>
      </c>
      <c r="D93" s="105">
        <f t="shared" ref="D93:D97" si="2">TRUNC(($D$88*C93),2)</f>
        <v>41.69</v>
      </c>
    </row>
    <row r="94" spans="1:4">
      <c r="A94" s="98" t="s">
        <v>45</v>
      </c>
      <c r="B94" t="s">
        <v>133</v>
      </c>
      <c r="C94" s="117">
        <f>((5/30)/12)</f>
        <v>0.0138888888888889</v>
      </c>
      <c r="D94" s="120">
        <f t="shared" si="2"/>
        <v>35.73</v>
      </c>
    </row>
    <row r="95" spans="1:4">
      <c r="A95" s="98" t="s">
        <v>48</v>
      </c>
      <c r="B95" t="s">
        <v>134</v>
      </c>
      <c r="C95" s="117">
        <f>((5/30)/12)*0.02</f>
        <v>0.000277777777777778</v>
      </c>
      <c r="D95" s="120">
        <f t="shared" si="2"/>
        <v>0.71</v>
      </c>
    </row>
    <row r="96" ht="28.8" spans="1:4">
      <c r="A96" s="98" t="s">
        <v>50</v>
      </c>
      <c r="B96" s="123" t="s">
        <v>135</v>
      </c>
      <c r="C96" s="124">
        <f>((15/30)/12)*0.08</f>
        <v>0.00333333333333333</v>
      </c>
      <c r="D96" s="120">
        <f t="shared" si="2"/>
        <v>8.57</v>
      </c>
    </row>
    <row r="97" spans="1:4">
      <c r="A97" s="98" t="s">
        <v>53</v>
      </c>
      <c r="B97" t="s">
        <v>136</v>
      </c>
      <c r="C97" s="117">
        <f>((1+1/3)/12)*0.00001*((4/12))</f>
        <v>3.7037037037037e-7</v>
      </c>
      <c r="D97" s="120">
        <f t="shared" si="2"/>
        <v>0</v>
      </c>
    </row>
    <row r="98" spans="1:4">
      <c r="A98" s="98" t="s">
        <v>55</v>
      </c>
      <c r="B98" s="123" t="s">
        <v>217</v>
      </c>
      <c r="C98" s="127">
        <v>0</v>
      </c>
      <c r="D98" s="120">
        <f>TRUNC($D$88*C98)</f>
        <v>0</v>
      </c>
    </row>
    <row r="99" spans="1:4">
      <c r="A99" s="98" t="s">
        <v>58</v>
      </c>
      <c r="C99" s="122">
        <f>SUBTOTAL(109,Submódulo4.159[Percentual])</f>
        <v>0.0337040740740741</v>
      </c>
      <c r="D99" s="105">
        <f>TRUNC((SUM(D93:D98)),2)</f>
        <v>86.7</v>
      </c>
    </row>
    <row r="100" spans="1:4">
      <c r="A100" s="98"/>
      <c r="C100" s="99"/>
      <c r="D100" s="105"/>
    </row>
    <row r="101" spans="1:4">
      <c r="A101" s="109" t="s">
        <v>144</v>
      </c>
      <c r="B101" s="97"/>
      <c r="C101" s="97"/>
      <c r="D101" s="97"/>
    </row>
    <row r="102" spans="1:4">
      <c r="A102" s="98" t="s">
        <v>145</v>
      </c>
      <c r="B102" s="22" t="s">
        <v>146</v>
      </c>
      <c r="C102" s="99" t="s">
        <v>18</v>
      </c>
      <c r="D102" s="99" t="s">
        <v>19</v>
      </c>
    </row>
    <row r="103" ht="72" spans="1:4">
      <c r="A103" s="98" t="s">
        <v>42</v>
      </c>
      <c r="B103" s="128" t="s">
        <v>147</v>
      </c>
      <c r="C103" s="129" t="s">
        <v>218</v>
      </c>
      <c r="D103" s="130" t="s">
        <v>219</v>
      </c>
    </row>
    <row r="104" spans="1:4">
      <c r="A104" s="98" t="s">
        <v>58</v>
      </c>
      <c r="C104" s="131"/>
      <c r="D104" s="132" t="str">
        <f>D103</f>
        <v>*=TRUNCAR(($D$86/220)*(1*(365/12))/2)</v>
      </c>
    </row>
    <row r="106" spans="1:4">
      <c r="A106" s="109" t="s">
        <v>148</v>
      </c>
      <c r="B106" s="97"/>
      <c r="C106" s="97"/>
      <c r="D106" s="97"/>
    </row>
    <row r="107" spans="1:4">
      <c r="A107" s="98" t="s">
        <v>149</v>
      </c>
      <c r="B107" s="22" t="s">
        <v>150</v>
      </c>
      <c r="C107" s="99" t="s">
        <v>18</v>
      </c>
      <c r="D107" s="99" t="s">
        <v>19</v>
      </c>
    </row>
    <row r="108" spans="1:4">
      <c r="A108" s="98" t="s">
        <v>129</v>
      </c>
      <c r="B108" t="s">
        <v>130</v>
      </c>
      <c r="D108" s="101">
        <f>D99</f>
        <v>86.7</v>
      </c>
    </row>
    <row r="109" spans="1:4">
      <c r="A109" s="98" t="s">
        <v>145</v>
      </c>
      <c r="B109" t="s">
        <v>151</v>
      </c>
      <c r="C109" s="22"/>
      <c r="D109" s="133" t="str">
        <f>Submódulo4.260[[#Totals],[Valor]]</f>
        <v>*=TRUNCAR(($D$86/220)*(1*(365/12))/2)</v>
      </c>
    </row>
    <row r="110" ht="43.2" spans="1:4">
      <c r="A110" s="98" t="s">
        <v>58</v>
      </c>
      <c r="B110" s="119"/>
      <c r="C110" s="129" t="s">
        <v>220</v>
      </c>
      <c r="D110" s="134">
        <f>TRUNC((SUM(D108:D109)),2)</f>
        <v>86.7</v>
      </c>
    </row>
    <row r="112" spans="1:4">
      <c r="A112" s="76" t="s">
        <v>152</v>
      </c>
      <c r="B112" s="77"/>
      <c r="C112" s="77"/>
      <c r="D112" s="77"/>
    </row>
    <row r="113" ht="29.55" spans="1:9">
      <c r="A113" s="98" t="s">
        <v>153</v>
      </c>
      <c r="B113" s="22" t="s">
        <v>154</v>
      </c>
      <c r="C113" s="99" t="s">
        <v>18</v>
      </c>
      <c r="D113" s="99" t="s">
        <v>19</v>
      </c>
      <c r="F113" s="135" t="s">
        <v>221</v>
      </c>
      <c r="G113" s="136" t="s">
        <v>222</v>
      </c>
      <c r="H113" s="136" t="s">
        <v>223</v>
      </c>
      <c r="I113" s="136" t="s">
        <v>224</v>
      </c>
    </row>
    <row r="114" ht="15.9" spans="1:9">
      <c r="A114" s="98" t="s">
        <v>42</v>
      </c>
      <c r="B114" t="s">
        <v>225</v>
      </c>
      <c r="D114" s="137">
        <f>'Uniformes e EPI'!G125</f>
        <v>73.73</v>
      </c>
      <c r="F114" s="138" t="s">
        <v>226</v>
      </c>
      <c r="G114" s="139">
        <v>0</v>
      </c>
      <c r="H114" s="140">
        <v>70</v>
      </c>
      <c r="I114" s="140">
        <f>TRUNC(H114*G114,2)</f>
        <v>0</v>
      </c>
    </row>
    <row r="115" ht="15.9" spans="1:9">
      <c r="A115" s="98" t="s">
        <v>45</v>
      </c>
      <c r="B115" t="s">
        <v>227</v>
      </c>
      <c r="D115" s="137">
        <f>EPC!E21</f>
        <v>24.5</v>
      </c>
      <c r="F115" s="141" t="s">
        <v>228</v>
      </c>
      <c r="G115" s="142">
        <v>0</v>
      </c>
      <c r="H115" s="143">
        <v>35</v>
      </c>
      <c r="I115" s="140">
        <f>TRUNC(H115*G115,2)</f>
        <v>0</v>
      </c>
    </row>
    <row r="116" ht="15.15" spans="1:9">
      <c r="A116" s="98" t="s">
        <v>48</v>
      </c>
      <c r="B116" t="s">
        <v>156</v>
      </c>
      <c r="D116" s="137">
        <f>'Equipamentos e Materiais'!E101</f>
        <v>215.12</v>
      </c>
      <c r="F116" s="144" t="s">
        <v>207</v>
      </c>
      <c r="G116" s="145"/>
      <c r="H116" s="146">
        <f>TRUNC(SUM(I114:I115),2)</f>
        <v>0</v>
      </c>
      <c r="I116" s="149"/>
    </row>
    <row r="117" spans="1:9">
      <c r="A117" s="98" t="s">
        <v>50</v>
      </c>
      <c r="B117" t="s">
        <v>157</v>
      </c>
      <c r="D117" s="137">
        <f>'Equipamentos e Materiais'!F132</f>
        <v>15.37</v>
      </c>
      <c r="F117" s="144" t="s">
        <v>229</v>
      </c>
      <c r="G117" s="145"/>
      <c r="H117" s="146">
        <f>TRUNC(H116/12,2)</f>
        <v>0</v>
      </c>
      <c r="I117" s="149"/>
    </row>
    <row r="118" spans="1:9">
      <c r="A118" s="98" t="s">
        <v>53</v>
      </c>
      <c r="B118" t="s">
        <v>230</v>
      </c>
      <c r="D118" s="137">
        <f>H117</f>
        <v>0</v>
      </c>
      <c r="F118" s="147" t="s">
        <v>232</v>
      </c>
      <c r="G118" s="147"/>
      <c r="H118" s="147"/>
      <c r="I118" s="147"/>
    </row>
    <row r="119" spans="1:9">
      <c r="A119" s="98" t="s">
        <v>58</v>
      </c>
      <c r="D119" s="148">
        <f>TRUNC(SUM(D114:D118),2)</f>
        <v>328.72</v>
      </c>
      <c r="F119" s="147"/>
      <c r="G119" s="147"/>
      <c r="H119" s="147"/>
      <c r="I119" s="147"/>
    </row>
    <row r="120" ht="15.15"/>
    <row r="121" ht="15.9" spans="1:4">
      <c r="A121" s="107" t="s">
        <v>233</v>
      </c>
      <c r="B121" s="107"/>
      <c r="C121" s="112" t="s">
        <v>205</v>
      </c>
      <c r="D121" s="113">
        <f>D31</f>
        <v>1236.84</v>
      </c>
    </row>
    <row r="122" ht="15.9" spans="1:4">
      <c r="A122" s="107"/>
      <c r="B122" s="107"/>
      <c r="C122" s="114" t="s">
        <v>215</v>
      </c>
      <c r="D122" s="113">
        <f>D73</f>
        <v>1261.43</v>
      </c>
    </row>
    <row r="123" ht="15.9" spans="1:4">
      <c r="A123" s="107"/>
      <c r="B123" s="107"/>
      <c r="C123" s="112" t="s">
        <v>216</v>
      </c>
      <c r="D123" s="113">
        <f>D83</f>
        <v>74.72</v>
      </c>
    </row>
    <row r="124" ht="15.9" spans="1:4">
      <c r="A124" s="107"/>
      <c r="B124" s="107"/>
      <c r="C124" s="114" t="s">
        <v>234</v>
      </c>
      <c r="D124" s="113">
        <f>D110</f>
        <v>86.7</v>
      </c>
    </row>
    <row r="125" ht="15.9" spans="1:4">
      <c r="A125" s="107"/>
      <c r="B125" s="107"/>
      <c r="C125" s="112" t="s">
        <v>235</v>
      </c>
      <c r="D125" s="113">
        <f>D119</f>
        <v>328.72</v>
      </c>
    </row>
    <row r="126" ht="15.9" spans="1:4">
      <c r="A126" s="107"/>
      <c r="B126" s="107"/>
      <c r="C126" s="114" t="s">
        <v>207</v>
      </c>
      <c r="D126" s="115">
        <f>TRUNC((SUM(D121:D125)),2)</f>
        <v>2988.41</v>
      </c>
    </row>
    <row r="127" ht="15.15"/>
    <row r="128" spans="1:4">
      <c r="A128" s="76" t="s">
        <v>164</v>
      </c>
      <c r="B128" s="77"/>
      <c r="C128" s="77"/>
      <c r="D128" s="77"/>
    </row>
    <row r="129" ht="15.15" spans="1:7">
      <c r="A129" s="98" t="s">
        <v>165</v>
      </c>
      <c r="B129" t="s">
        <v>166</v>
      </c>
      <c r="C129" s="99" t="s">
        <v>38</v>
      </c>
      <c r="D129" s="99" t="s">
        <v>19</v>
      </c>
      <c r="F129" s="135" t="s">
        <v>236</v>
      </c>
      <c r="G129" s="135"/>
    </row>
    <row r="130" ht="15.15" spans="1:7">
      <c r="A130" s="98" t="s">
        <v>42</v>
      </c>
      <c r="B130" t="s">
        <v>167</v>
      </c>
      <c r="C130" s="117">
        <v>0.04</v>
      </c>
      <c r="D130" s="101">
        <f>TRUNC(($D$126*C130),2)</f>
        <v>119.53</v>
      </c>
      <c r="F130" s="138" t="s">
        <v>237</v>
      </c>
      <c r="G130" s="124">
        <f>C132</f>
        <v>0.0865</v>
      </c>
    </row>
    <row r="131" ht="15.15" spans="1:7">
      <c r="A131" s="98" t="s">
        <v>45</v>
      </c>
      <c r="B131" t="s">
        <v>59</v>
      </c>
      <c r="C131" s="117">
        <v>0.05</v>
      </c>
      <c r="D131" s="101">
        <f>TRUNC((C131*(D126+D130)),2)</f>
        <v>155.39</v>
      </c>
      <c r="F131" s="150" t="s">
        <v>238</v>
      </c>
      <c r="G131" s="151">
        <f>TRUNC(SUM(D126,D130,D131),2)</f>
        <v>3263.33</v>
      </c>
    </row>
    <row r="132" ht="15.15" spans="1:7">
      <c r="A132" s="98" t="s">
        <v>48</v>
      </c>
      <c r="B132" t="s">
        <v>168</v>
      </c>
      <c r="C132" s="117">
        <f>SUM(C133:C135)</f>
        <v>0.0865</v>
      </c>
      <c r="D132" s="101">
        <f>TRUNC((SUM(D133:D135)),2)</f>
        <v>308.99</v>
      </c>
      <c r="F132" s="138" t="s">
        <v>239</v>
      </c>
      <c r="G132" s="152">
        <f>(100-8.65)/100</f>
        <v>0.9135</v>
      </c>
    </row>
    <row r="133" ht="15.15" spans="1:7">
      <c r="A133" s="98"/>
      <c r="B133" t="s">
        <v>240</v>
      </c>
      <c r="C133" s="117">
        <v>0.0065</v>
      </c>
      <c r="D133" s="101">
        <f t="shared" ref="D133:D135" si="3">TRUNC(($G$133*C133),2)</f>
        <v>23.22</v>
      </c>
      <c r="F133" s="150" t="s">
        <v>236</v>
      </c>
      <c r="G133" s="151">
        <f>TRUNC((G131/G132),2)</f>
        <v>3572.33</v>
      </c>
    </row>
    <row r="134" ht="15.15" spans="1:4">
      <c r="A134" s="98"/>
      <c r="B134" t="s">
        <v>241</v>
      </c>
      <c r="C134" s="117">
        <v>0.03</v>
      </c>
      <c r="D134" s="101">
        <f t="shared" si="3"/>
        <v>107.16</v>
      </c>
    </row>
    <row r="135" spans="1:4">
      <c r="A135" s="98"/>
      <c r="B135" t="s">
        <v>242</v>
      </c>
      <c r="C135" s="117">
        <v>0.05</v>
      </c>
      <c r="D135" s="101">
        <f t="shared" si="3"/>
        <v>178.61</v>
      </c>
    </row>
    <row r="136" spans="1:4">
      <c r="A136" s="98" t="s">
        <v>58</v>
      </c>
      <c r="C136" s="153"/>
      <c r="D136" s="105">
        <f>TRUNC(SUM(D130:D132),2)</f>
        <v>583.91</v>
      </c>
    </row>
    <row r="137" spans="1:4">
      <c r="A137" s="98"/>
      <c r="C137" s="153"/>
      <c r="D137" s="105"/>
    </row>
    <row r="139" spans="1:4">
      <c r="A139" s="76" t="s">
        <v>172</v>
      </c>
      <c r="B139" s="77"/>
      <c r="C139" s="77"/>
      <c r="D139" s="77"/>
    </row>
    <row r="140" spans="1:4">
      <c r="A140" s="98" t="s">
        <v>16</v>
      </c>
      <c r="B140" s="99" t="s">
        <v>173</v>
      </c>
      <c r="C140" s="99" t="s">
        <v>102</v>
      </c>
      <c r="D140" s="99" t="s">
        <v>19</v>
      </c>
    </row>
    <row r="141" spans="1:4">
      <c r="A141" s="98" t="s">
        <v>42</v>
      </c>
      <c r="B141" t="s">
        <v>36</v>
      </c>
      <c r="D141" s="105">
        <f>D31</f>
        <v>1236.84</v>
      </c>
    </row>
    <row r="142" spans="1:4">
      <c r="A142" s="98" t="s">
        <v>45</v>
      </c>
      <c r="B142" t="s">
        <v>61</v>
      </c>
      <c r="D142" s="105">
        <f>D73</f>
        <v>1261.43</v>
      </c>
    </row>
    <row r="143" spans="1:4">
      <c r="A143" s="98" t="s">
        <v>48</v>
      </c>
      <c r="B143" t="s">
        <v>108</v>
      </c>
      <c r="D143" s="105">
        <f>D83</f>
        <v>74.72</v>
      </c>
    </row>
    <row r="144" spans="1:4">
      <c r="A144" s="98" t="s">
        <v>50</v>
      </c>
      <c r="B144" t="s">
        <v>174</v>
      </c>
      <c r="D144" s="105">
        <f>D110</f>
        <v>86.7</v>
      </c>
    </row>
    <row r="145" spans="1:4">
      <c r="A145" s="98" t="s">
        <v>53</v>
      </c>
      <c r="B145" t="s">
        <v>152</v>
      </c>
      <c r="D145" s="105">
        <f>D119</f>
        <v>328.72</v>
      </c>
    </row>
    <row r="146" spans="2:4">
      <c r="B146" s="154" t="s">
        <v>243</v>
      </c>
      <c r="D146" s="105">
        <f>TRUNC(SUM(D141:D145),2)</f>
        <v>2988.41</v>
      </c>
    </row>
    <row r="147" spans="1:4">
      <c r="A147" s="98" t="s">
        <v>55</v>
      </c>
      <c r="B147" t="s">
        <v>164</v>
      </c>
      <c r="D147" s="105">
        <f>D136</f>
        <v>583.91</v>
      </c>
    </row>
    <row r="148" spans="1:4">
      <c r="A148" s="155"/>
      <c r="B148" s="156" t="s">
        <v>244</v>
      </c>
      <c r="C148" s="157"/>
      <c r="D148" s="158">
        <f>TRUNC((SUM(D141:D145)+D147),2)</f>
        <v>3572.32</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5"/>
  <sheetViews>
    <sheetView tabSelected="1" zoomScale="90" zoomScaleNormal="90" topLeftCell="A36" workbookViewId="0">
      <selection activeCell="K27" sqref="K27"/>
    </sheetView>
  </sheetViews>
  <sheetFormatPr defaultColWidth="9.13888888888889" defaultRowHeight="14.4" outlineLevelCol="7"/>
  <cols>
    <col min="2" max="2" width="17.1574074074074" style="51" customWidth="1"/>
    <col min="3" max="3" width="39.3611111111111" customWidth="1"/>
    <col min="4" max="4" width="13.9444444444444" style="52" customWidth="1"/>
    <col min="5" max="5" width="13.4537037037037" customWidth="1"/>
    <col min="6" max="6" width="15.9166666666667" customWidth="1"/>
    <col min="7" max="7" width="15.4259259259259" customWidth="1"/>
    <col min="8" max="8" width="16.1759259259259" customWidth="1"/>
  </cols>
  <sheetData>
    <row r="1" spans="1:8">
      <c r="A1" s="53" t="s">
        <v>258</v>
      </c>
      <c r="B1" s="54"/>
      <c r="C1" s="53"/>
      <c r="D1" s="55"/>
      <c r="E1" s="53"/>
      <c r="F1" s="53"/>
      <c r="G1" s="53"/>
      <c r="H1" s="53"/>
    </row>
    <row r="2" spans="1:8">
      <c r="A2" s="56" t="s">
        <v>259</v>
      </c>
      <c r="B2" s="57"/>
      <c r="C2" s="56"/>
      <c r="D2" s="58"/>
      <c r="E2" s="56"/>
      <c r="F2" s="56"/>
      <c r="G2" s="56"/>
      <c r="H2" s="56"/>
    </row>
    <row r="3" ht="57.6" spans="1:8">
      <c r="A3" s="59" t="s">
        <v>260</v>
      </c>
      <c r="B3" s="59" t="s">
        <v>261</v>
      </c>
      <c r="C3" s="59" t="s">
        <v>262</v>
      </c>
      <c r="D3" s="59" t="s">
        <v>263</v>
      </c>
      <c r="E3" s="59" t="s">
        <v>264</v>
      </c>
      <c r="F3" s="59" t="s">
        <v>265</v>
      </c>
      <c r="G3" s="59" t="s">
        <v>266</v>
      </c>
      <c r="H3" s="59" t="s">
        <v>267</v>
      </c>
    </row>
    <row r="4" ht="55.2" spans="1:8">
      <c r="A4" s="60">
        <v>1</v>
      </c>
      <c r="B4" s="47" t="s">
        <v>268</v>
      </c>
      <c r="C4" s="61" t="s">
        <v>269</v>
      </c>
      <c r="D4" s="47" t="s">
        <v>270</v>
      </c>
      <c r="E4" s="62">
        <v>52</v>
      </c>
      <c r="F4" s="47">
        <v>4</v>
      </c>
      <c r="G4" s="63">
        <f t="shared" ref="G4:G19" si="0">TRUNC(F4*E4,2)</f>
        <v>208</v>
      </c>
      <c r="H4" s="63">
        <f t="shared" ref="H4:H19" si="1">TRUNC(G4/12,2)</f>
        <v>17.33</v>
      </c>
    </row>
    <row r="5" ht="55.2" spans="1:8">
      <c r="A5" s="60">
        <v>2</v>
      </c>
      <c r="B5" s="47" t="s">
        <v>271</v>
      </c>
      <c r="C5" s="61" t="s">
        <v>272</v>
      </c>
      <c r="D5" s="47" t="s">
        <v>270</v>
      </c>
      <c r="E5" s="62">
        <v>41.1</v>
      </c>
      <c r="F5" s="47">
        <v>4</v>
      </c>
      <c r="G5" s="63">
        <f t="shared" si="0"/>
        <v>164.4</v>
      </c>
      <c r="H5" s="63">
        <f t="shared" si="1"/>
        <v>13.7</v>
      </c>
    </row>
    <row r="6" ht="55.2" spans="1:8">
      <c r="A6" s="60">
        <v>3</v>
      </c>
      <c r="B6" s="47" t="s">
        <v>271</v>
      </c>
      <c r="C6" s="61" t="s">
        <v>273</v>
      </c>
      <c r="D6" s="47" t="s">
        <v>270</v>
      </c>
      <c r="E6" s="62">
        <v>38.53</v>
      </c>
      <c r="F6" s="47">
        <v>4</v>
      </c>
      <c r="G6" s="63">
        <f t="shared" si="0"/>
        <v>154.12</v>
      </c>
      <c r="H6" s="63">
        <f t="shared" si="1"/>
        <v>12.84</v>
      </c>
    </row>
    <row r="7" ht="41.4" spans="1:8">
      <c r="A7" s="60">
        <v>4</v>
      </c>
      <c r="B7" s="64" t="s">
        <v>274</v>
      </c>
      <c r="C7" s="61" t="s">
        <v>275</v>
      </c>
      <c r="D7" s="47" t="s">
        <v>270</v>
      </c>
      <c r="E7" s="62">
        <v>14.98</v>
      </c>
      <c r="F7" s="47">
        <v>2</v>
      </c>
      <c r="G7" s="63">
        <f t="shared" si="0"/>
        <v>29.96</v>
      </c>
      <c r="H7" s="63">
        <f t="shared" si="1"/>
        <v>2.49</v>
      </c>
    </row>
    <row r="8" ht="82.8" spans="1:8">
      <c r="A8" s="60">
        <v>5</v>
      </c>
      <c r="B8" s="64" t="s">
        <v>276</v>
      </c>
      <c r="C8" s="61" t="s">
        <v>277</v>
      </c>
      <c r="D8" s="47" t="s">
        <v>278</v>
      </c>
      <c r="E8" s="62">
        <v>17.5</v>
      </c>
      <c r="F8" s="47">
        <v>2</v>
      </c>
      <c r="G8" s="63">
        <f t="shared" si="0"/>
        <v>35</v>
      </c>
      <c r="H8" s="63">
        <f t="shared" si="1"/>
        <v>2.91</v>
      </c>
    </row>
    <row r="9" ht="55.2" spans="1:8">
      <c r="A9" s="60">
        <v>6</v>
      </c>
      <c r="B9" s="47" t="s">
        <v>279</v>
      </c>
      <c r="C9" s="61" t="s">
        <v>280</v>
      </c>
      <c r="D9" s="47" t="s">
        <v>278</v>
      </c>
      <c r="E9" s="62">
        <v>61.59</v>
      </c>
      <c r="F9" s="47">
        <v>2</v>
      </c>
      <c r="G9" s="63">
        <f t="shared" si="0"/>
        <v>123.18</v>
      </c>
      <c r="H9" s="63">
        <f t="shared" si="1"/>
        <v>10.26</v>
      </c>
    </row>
    <row r="10" ht="96.6" spans="1:8">
      <c r="A10" s="60">
        <v>7</v>
      </c>
      <c r="B10" s="47" t="s">
        <v>279</v>
      </c>
      <c r="C10" s="61" t="s">
        <v>281</v>
      </c>
      <c r="D10" s="47" t="s">
        <v>278</v>
      </c>
      <c r="E10" s="62">
        <v>71.11</v>
      </c>
      <c r="F10" s="47">
        <v>1</v>
      </c>
      <c r="G10" s="63">
        <f t="shared" si="0"/>
        <v>71.11</v>
      </c>
      <c r="H10" s="63">
        <f t="shared" si="1"/>
        <v>5.92</v>
      </c>
    </row>
    <row r="11" ht="41.4" spans="1:8">
      <c r="A11" s="60">
        <v>8</v>
      </c>
      <c r="B11" s="47" t="s">
        <v>282</v>
      </c>
      <c r="C11" s="61" t="s">
        <v>283</v>
      </c>
      <c r="D11" s="47" t="s">
        <v>278</v>
      </c>
      <c r="E11" s="62">
        <v>2.54</v>
      </c>
      <c r="F11" s="47">
        <v>4</v>
      </c>
      <c r="G11" s="63">
        <f t="shared" si="0"/>
        <v>10.16</v>
      </c>
      <c r="H11" s="63">
        <f t="shared" si="1"/>
        <v>0.84</v>
      </c>
    </row>
    <row r="12" ht="41.4" spans="1:8">
      <c r="A12" s="60">
        <v>9</v>
      </c>
      <c r="B12" s="47" t="s">
        <v>284</v>
      </c>
      <c r="C12" s="61" t="s">
        <v>285</v>
      </c>
      <c r="D12" s="47" t="s">
        <v>270</v>
      </c>
      <c r="E12" s="62">
        <v>5.8</v>
      </c>
      <c r="F12" s="47">
        <v>1</v>
      </c>
      <c r="G12" s="63">
        <f t="shared" si="0"/>
        <v>5.8</v>
      </c>
      <c r="H12" s="63">
        <f t="shared" si="1"/>
        <v>0.48</v>
      </c>
    </row>
    <row r="13" ht="69" spans="1:8">
      <c r="A13" s="60">
        <v>10</v>
      </c>
      <c r="B13" s="47" t="s">
        <v>286</v>
      </c>
      <c r="C13" s="61" t="s">
        <v>287</v>
      </c>
      <c r="D13" s="47" t="s">
        <v>270</v>
      </c>
      <c r="E13" s="62">
        <v>30</v>
      </c>
      <c r="F13" s="47">
        <v>1</v>
      </c>
      <c r="G13" s="63">
        <f t="shared" si="0"/>
        <v>30</v>
      </c>
      <c r="H13" s="63">
        <f t="shared" si="1"/>
        <v>2.5</v>
      </c>
    </row>
    <row r="14" ht="55.2" spans="1:8">
      <c r="A14" s="60">
        <v>11</v>
      </c>
      <c r="B14" s="47" t="s">
        <v>288</v>
      </c>
      <c r="C14" s="61" t="s">
        <v>289</v>
      </c>
      <c r="D14" s="47" t="s">
        <v>290</v>
      </c>
      <c r="E14" s="62">
        <v>305.97</v>
      </c>
      <c r="F14" s="47">
        <v>1</v>
      </c>
      <c r="G14" s="63">
        <f t="shared" si="0"/>
        <v>305.97</v>
      </c>
      <c r="H14" s="63">
        <f t="shared" si="1"/>
        <v>25.49</v>
      </c>
    </row>
    <row r="15" ht="55.2" spans="1:8">
      <c r="A15" s="60">
        <v>12</v>
      </c>
      <c r="B15" s="47" t="s">
        <v>291</v>
      </c>
      <c r="C15" s="61" t="s">
        <v>292</v>
      </c>
      <c r="D15" s="47" t="s">
        <v>278</v>
      </c>
      <c r="E15" s="62">
        <v>4.2</v>
      </c>
      <c r="F15" s="47">
        <v>6</v>
      </c>
      <c r="G15" s="63">
        <f t="shared" si="0"/>
        <v>25.2</v>
      </c>
      <c r="H15" s="63">
        <f t="shared" si="1"/>
        <v>2.1</v>
      </c>
    </row>
    <row r="16" ht="69" spans="1:8">
      <c r="A16" s="60">
        <v>13</v>
      </c>
      <c r="B16" s="47" t="s">
        <v>293</v>
      </c>
      <c r="C16" s="61" t="s">
        <v>294</v>
      </c>
      <c r="D16" s="47" t="s">
        <v>270</v>
      </c>
      <c r="E16" s="62">
        <v>4</v>
      </c>
      <c r="F16" s="47">
        <v>2</v>
      </c>
      <c r="G16" s="63">
        <f t="shared" si="0"/>
        <v>8</v>
      </c>
      <c r="H16" s="63">
        <f t="shared" si="1"/>
        <v>0.66</v>
      </c>
    </row>
    <row r="17" ht="41.4" spans="1:8">
      <c r="A17" s="60">
        <v>14</v>
      </c>
      <c r="B17" s="47" t="s">
        <v>295</v>
      </c>
      <c r="C17" s="61" t="s">
        <v>296</v>
      </c>
      <c r="D17" s="47" t="s">
        <v>270</v>
      </c>
      <c r="E17" s="62">
        <v>1.1</v>
      </c>
      <c r="F17" s="47">
        <v>4</v>
      </c>
      <c r="G17" s="63">
        <f t="shared" si="0"/>
        <v>4.4</v>
      </c>
      <c r="H17" s="63">
        <f t="shared" si="1"/>
        <v>0.36</v>
      </c>
    </row>
    <row r="18" ht="27.6" spans="1:8">
      <c r="A18" s="60">
        <v>15</v>
      </c>
      <c r="B18" s="47" t="s">
        <v>297</v>
      </c>
      <c r="C18" s="61" t="s">
        <v>298</v>
      </c>
      <c r="D18" s="47" t="s">
        <v>270</v>
      </c>
      <c r="E18" s="62">
        <v>10.76</v>
      </c>
      <c r="F18" s="47">
        <v>4</v>
      </c>
      <c r="G18" s="63">
        <f t="shared" si="0"/>
        <v>43.04</v>
      </c>
      <c r="H18" s="63">
        <f t="shared" si="1"/>
        <v>3.58</v>
      </c>
    </row>
    <row r="19" ht="96.6" spans="1:8">
      <c r="A19" s="60">
        <v>16</v>
      </c>
      <c r="B19" s="60" t="s">
        <v>299</v>
      </c>
      <c r="C19" s="61" t="s">
        <v>300</v>
      </c>
      <c r="D19" s="47" t="s">
        <v>270</v>
      </c>
      <c r="E19" s="62">
        <v>0.95</v>
      </c>
      <c r="F19" s="47">
        <v>12</v>
      </c>
      <c r="G19" s="63">
        <f t="shared" si="0"/>
        <v>11.4</v>
      </c>
      <c r="H19" s="63">
        <f t="shared" si="1"/>
        <v>0.95</v>
      </c>
    </row>
    <row r="20" spans="1:8">
      <c r="A20" s="19" t="s">
        <v>207</v>
      </c>
      <c r="B20" s="19"/>
      <c r="C20" s="19"/>
      <c r="D20" s="19"/>
      <c r="E20" s="19"/>
      <c r="F20" s="19"/>
      <c r="G20" s="21">
        <f>TRUNC(SUM(H4:H19),2)</f>
        <v>102.41</v>
      </c>
      <c r="H20" s="21"/>
    </row>
    <row r="23" spans="1:8">
      <c r="A23" s="53" t="s">
        <v>258</v>
      </c>
      <c r="B23" s="54"/>
      <c r="C23" s="53"/>
      <c r="D23" s="55"/>
      <c r="E23" s="53"/>
      <c r="F23" s="53"/>
      <c r="G23" s="53"/>
      <c r="H23" s="53"/>
    </row>
    <row r="24" spans="1:8">
      <c r="A24" s="56" t="s">
        <v>301</v>
      </c>
      <c r="B24" s="57"/>
      <c r="C24" s="56"/>
      <c r="D24" s="58"/>
      <c r="E24" s="56"/>
      <c r="F24" s="56"/>
      <c r="G24" s="56"/>
      <c r="H24" s="56"/>
    </row>
    <row r="25" ht="57.6" spans="1:8">
      <c r="A25" s="59" t="s">
        <v>260</v>
      </c>
      <c r="B25" s="59" t="s">
        <v>261</v>
      </c>
      <c r="C25" s="59" t="s">
        <v>262</v>
      </c>
      <c r="D25" s="59" t="s">
        <v>263</v>
      </c>
      <c r="E25" s="59" t="s">
        <v>264</v>
      </c>
      <c r="F25" s="59" t="s">
        <v>265</v>
      </c>
      <c r="G25" s="59" t="s">
        <v>266</v>
      </c>
      <c r="H25" s="59" t="s">
        <v>267</v>
      </c>
    </row>
    <row r="26" ht="82.8" spans="1:8">
      <c r="A26" s="60">
        <v>1</v>
      </c>
      <c r="B26" s="47" t="s">
        <v>268</v>
      </c>
      <c r="C26" s="65" t="s">
        <v>302</v>
      </c>
      <c r="D26" s="47" t="s">
        <v>270</v>
      </c>
      <c r="E26" s="62">
        <v>128.08</v>
      </c>
      <c r="F26" s="47">
        <v>4</v>
      </c>
      <c r="G26" s="63">
        <f t="shared" ref="G26:G41" si="2">TRUNC(F26*E26,2)</f>
        <v>512.32</v>
      </c>
      <c r="H26" s="63">
        <f t="shared" ref="H26:H41" si="3">TRUNC(G26/12,2)</f>
        <v>42.69</v>
      </c>
    </row>
    <row r="27" ht="82.8" spans="1:8">
      <c r="A27" s="60">
        <v>2</v>
      </c>
      <c r="B27" s="47" t="s">
        <v>271</v>
      </c>
      <c r="C27" s="65" t="s">
        <v>303</v>
      </c>
      <c r="D27" s="47" t="s">
        <v>270</v>
      </c>
      <c r="E27" s="62">
        <v>153.2</v>
      </c>
      <c r="F27" s="47">
        <v>4</v>
      </c>
      <c r="G27" s="63">
        <f t="shared" si="2"/>
        <v>612.8</v>
      </c>
      <c r="H27" s="63">
        <f t="shared" si="3"/>
        <v>51.06</v>
      </c>
    </row>
    <row r="28" ht="57.6" spans="1:8">
      <c r="A28" s="60">
        <v>3</v>
      </c>
      <c r="B28" s="47" t="s">
        <v>271</v>
      </c>
      <c r="C28" s="66" t="s">
        <v>273</v>
      </c>
      <c r="D28" s="47" t="s">
        <v>270</v>
      </c>
      <c r="E28" s="62">
        <v>38.53</v>
      </c>
      <c r="F28" s="47">
        <v>4</v>
      </c>
      <c r="G28" s="63">
        <f t="shared" si="2"/>
        <v>154.12</v>
      </c>
      <c r="H28" s="63">
        <f t="shared" si="3"/>
        <v>12.84</v>
      </c>
    </row>
    <row r="29" ht="41.4" spans="1:8">
      <c r="A29" s="60">
        <v>4</v>
      </c>
      <c r="B29" s="64" t="s">
        <v>274</v>
      </c>
      <c r="C29" s="65" t="s">
        <v>275</v>
      </c>
      <c r="D29" s="47" t="s">
        <v>270</v>
      </c>
      <c r="E29" s="62">
        <v>14.98</v>
      </c>
      <c r="F29" s="47">
        <v>2</v>
      </c>
      <c r="G29" s="63">
        <f t="shared" si="2"/>
        <v>29.96</v>
      </c>
      <c r="H29" s="63">
        <f t="shared" si="3"/>
        <v>2.49</v>
      </c>
    </row>
    <row r="30" ht="82.8" spans="1:8">
      <c r="A30" s="60">
        <v>5</v>
      </c>
      <c r="B30" s="64" t="s">
        <v>276</v>
      </c>
      <c r="C30" s="65" t="s">
        <v>277</v>
      </c>
      <c r="D30" s="47" t="s">
        <v>278</v>
      </c>
      <c r="E30" s="62">
        <v>17.5</v>
      </c>
      <c r="F30" s="47">
        <v>2</v>
      </c>
      <c r="G30" s="63">
        <f t="shared" si="2"/>
        <v>35</v>
      </c>
      <c r="H30" s="63">
        <f t="shared" si="3"/>
        <v>2.91</v>
      </c>
    </row>
    <row r="31" ht="96.6" spans="1:8">
      <c r="A31" s="60">
        <v>6</v>
      </c>
      <c r="B31" s="47" t="s">
        <v>279</v>
      </c>
      <c r="C31" s="65" t="s">
        <v>304</v>
      </c>
      <c r="D31" s="47" t="s">
        <v>278</v>
      </c>
      <c r="E31" s="62">
        <v>51.66</v>
      </c>
      <c r="F31" s="47">
        <v>2</v>
      </c>
      <c r="G31" s="63">
        <f t="shared" si="2"/>
        <v>103.32</v>
      </c>
      <c r="H31" s="63">
        <f t="shared" si="3"/>
        <v>8.61</v>
      </c>
    </row>
    <row r="32" ht="41.4" spans="1:8">
      <c r="A32" s="60">
        <v>7</v>
      </c>
      <c r="B32" s="47" t="s">
        <v>282</v>
      </c>
      <c r="C32" s="65" t="s">
        <v>283</v>
      </c>
      <c r="D32" s="47" t="s">
        <v>278</v>
      </c>
      <c r="E32" s="62">
        <v>2.54</v>
      </c>
      <c r="F32" s="47">
        <v>4</v>
      </c>
      <c r="G32" s="63">
        <f t="shared" si="2"/>
        <v>10.16</v>
      </c>
      <c r="H32" s="63">
        <f t="shared" si="3"/>
        <v>0.84</v>
      </c>
    </row>
    <row r="33" ht="41.4" spans="1:8">
      <c r="A33" s="60">
        <v>8</v>
      </c>
      <c r="B33" s="47" t="s">
        <v>284</v>
      </c>
      <c r="C33" s="65" t="s">
        <v>285</v>
      </c>
      <c r="D33" s="47" t="s">
        <v>270</v>
      </c>
      <c r="E33" s="62">
        <v>5.8</v>
      </c>
      <c r="F33" s="47">
        <v>1</v>
      </c>
      <c r="G33" s="63">
        <f t="shared" si="2"/>
        <v>5.8</v>
      </c>
      <c r="H33" s="63">
        <f t="shared" si="3"/>
        <v>0.48</v>
      </c>
    </row>
    <row r="34" ht="124.2" spans="1:8">
      <c r="A34" s="60">
        <v>9</v>
      </c>
      <c r="B34" s="47" t="s">
        <v>286</v>
      </c>
      <c r="C34" s="65" t="s">
        <v>305</v>
      </c>
      <c r="D34" s="47" t="s">
        <v>270</v>
      </c>
      <c r="E34" s="62">
        <v>46.35</v>
      </c>
      <c r="F34" s="47">
        <v>1</v>
      </c>
      <c r="G34" s="63">
        <f t="shared" si="2"/>
        <v>46.35</v>
      </c>
      <c r="H34" s="63">
        <f t="shared" si="3"/>
        <v>3.86</v>
      </c>
    </row>
    <row r="35" ht="55.2" spans="1:8">
      <c r="A35" s="60">
        <v>10</v>
      </c>
      <c r="B35" s="47" t="s">
        <v>288</v>
      </c>
      <c r="C35" s="65" t="s">
        <v>289</v>
      </c>
      <c r="D35" s="47" t="s">
        <v>290</v>
      </c>
      <c r="E35" s="62">
        <v>305.97</v>
      </c>
      <c r="F35" s="47">
        <v>1</v>
      </c>
      <c r="G35" s="63">
        <f t="shared" si="2"/>
        <v>305.97</v>
      </c>
      <c r="H35" s="63">
        <f t="shared" si="3"/>
        <v>25.49</v>
      </c>
    </row>
    <row r="36" ht="41.4" spans="1:8">
      <c r="A36" s="60">
        <v>11</v>
      </c>
      <c r="B36" s="47" t="s">
        <v>291</v>
      </c>
      <c r="C36" s="65" t="s">
        <v>306</v>
      </c>
      <c r="D36" s="47" t="s">
        <v>278</v>
      </c>
      <c r="E36" s="62">
        <v>617.28</v>
      </c>
      <c r="F36" s="47">
        <v>1</v>
      </c>
      <c r="G36" s="63">
        <f t="shared" si="2"/>
        <v>617.28</v>
      </c>
      <c r="H36" s="63">
        <f t="shared" si="3"/>
        <v>51.44</v>
      </c>
    </row>
    <row r="37" ht="55.2" spans="1:8">
      <c r="A37" s="60">
        <v>12</v>
      </c>
      <c r="B37" s="47" t="s">
        <v>291</v>
      </c>
      <c r="C37" s="65" t="s">
        <v>292</v>
      </c>
      <c r="D37" s="47" t="s">
        <v>278</v>
      </c>
      <c r="E37" s="62">
        <v>4.2</v>
      </c>
      <c r="F37" s="47">
        <v>6</v>
      </c>
      <c r="G37" s="63">
        <f t="shared" si="2"/>
        <v>25.2</v>
      </c>
      <c r="H37" s="63">
        <f t="shared" si="3"/>
        <v>2.1</v>
      </c>
    </row>
    <row r="38" ht="69" spans="1:8">
      <c r="A38" s="60">
        <v>13</v>
      </c>
      <c r="B38" s="47" t="s">
        <v>293</v>
      </c>
      <c r="C38" s="65" t="s">
        <v>294</v>
      </c>
      <c r="D38" s="47" t="s">
        <v>270</v>
      </c>
      <c r="E38" s="62">
        <v>4</v>
      </c>
      <c r="F38" s="47">
        <v>2</v>
      </c>
      <c r="G38" s="63">
        <f t="shared" si="2"/>
        <v>8</v>
      </c>
      <c r="H38" s="63">
        <f t="shared" si="3"/>
        <v>0.66</v>
      </c>
    </row>
    <row r="39" ht="41.4" spans="1:8">
      <c r="A39" s="60">
        <v>14</v>
      </c>
      <c r="B39" s="47" t="s">
        <v>295</v>
      </c>
      <c r="C39" s="65" t="s">
        <v>296</v>
      </c>
      <c r="D39" s="47" t="s">
        <v>270</v>
      </c>
      <c r="E39" s="62">
        <v>1.1</v>
      </c>
      <c r="F39" s="47">
        <v>4</v>
      </c>
      <c r="G39" s="63">
        <f t="shared" si="2"/>
        <v>4.4</v>
      </c>
      <c r="H39" s="63">
        <f t="shared" si="3"/>
        <v>0.36</v>
      </c>
    </row>
    <row r="40" ht="27.6" spans="1:8">
      <c r="A40" s="60">
        <v>15</v>
      </c>
      <c r="B40" s="47" t="s">
        <v>297</v>
      </c>
      <c r="C40" s="65" t="s">
        <v>298</v>
      </c>
      <c r="D40" s="47" t="s">
        <v>270</v>
      </c>
      <c r="E40" s="62">
        <v>10.76</v>
      </c>
      <c r="F40" s="47">
        <v>4</v>
      </c>
      <c r="G40" s="63">
        <f t="shared" si="2"/>
        <v>43.04</v>
      </c>
      <c r="H40" s="63">
        <f t="shared" si="3"/>
        <v>3.58</v>
      </c>
    </row>
    <row r="41" ht="96.6" spans="1:8">
      <c r="A41" s="60">
        <v>16</v>
      </c>
      <c r="B41" s="47" t="s">
        <v>299</v>
      </c>
      <c r="C41" s="65" t="s">
        <v>300</v>
      </c>
      <c r="D41" s="47" t="s">
        <v>270</v>
      </c>
      <c r="E41" s="62">
        <v>0.95</v>
      </c>
      <c r="F41" s="47">
        <v>12</v>
      </c>
      <c r="G41" s="63">
        <f t="shared" si="2"/>
        <v>11.4</v>
      </c>
      <c r="H41" s="63">
        <f t="shared" si="3"/>
        <v>0.95</v>
      </c>
    </row>
    <row r="42" spans="1:8">
      <c r="A42" s="19" t="s">
        <v>207</v>
      </c>
      <c r="B42" s="19"/>
      <c r="C42" s="19"/>
      <c r="D42" s="19"/>
      <c r="E42" s="19"/>
      <c r="F42" s="19"/>
      <c r="G42" s="21">
        <f>TRUNC(SUM(H26:H41),2)</f>
        <v>210.36</v>
      </c>
      <c r="H42" s="21"/>
    </row>
    <row r="45" spans="1:8">
      <c r="A45" s="53" t="s">
        <v>258</v>
      </c>
      <c r="B45" s="54"/>
      <c r="C45" s="53"/>
      <c r="D45" s="55"/>
      <c r="E45" s="53"/>
      <c r="F45" s="53"/>
      <c r="G45" s="53"/>
      <c r="H45" s="53"/>
    </row>
    <row r="46" spans="1:8">
      <c r="A46" s="56" t="s">
        <v>307</v>
      </c>
      <c r="B46" s="57"/>
      <c r="C46" s="56"/>
      <c r="D46" s="58"/>
      <c r="E46" s="56"/>
      <c r="F46" s="56"/>
      <c r="G46" s="56"/>
      <c r="H46" s="56"/>
    </row>
    <row r="47" ht="57.6" spans="1:8">
      <c r="A47" s="59" t="s">
        <v>260</v>
      </c>
      <c r="B47" s="59" t="s">
        <v>261</v>
      </c>
      <c r="C47" s="59" t="s">
        <v>262</v>
      </c>
      <c r="D47" s="59" t="s">
        <v>263</v>
      </c>
      <c r="E47" s="59" t="s">
        <v>264</v>
      </c>
      <c r="F47" s="59" t="s">
        <v>265</v>
      </c>
      <c r="G47" s="59" t="s">
        <v>266</v>
      </c>
      <c r="H47" s="59" t="s">
        <v>267</v>
      </c>
    </row>
    <row r="48" ht="55.2" spans="1:8">
      <c r="A48" s="60">
        <v>1</v>
      </c>
      <c r="B48" s="47" t="s">
        <v>268</v>
      </c>
      <c r="C48" s="65" t="s">
        <v>269</v>
      </c>
      <c r="D48" s="47" t="s">
        <v>270</v>
      </c>
      <c r="E48" s="62">
        <v>52</v>
      </c>
      <c r="F48" s="47">
        <v>4</v>
      </c>
      <c r="G48" s="63">
        <f t="shared" ref="G48:G62" si="4">TRUNC(F48*E48,2)</f>
        <v>208</v>
      </c>
      <c r="H48" s="63">
        <f t="shared" ref="H48:H62" si="5">TRUNC(G48/12,2)</f>
        <v>17.33</v>
      </c>
    </row>
    <row r="49" ht="55.2" spans="1:8">
      <c r="A49" s="60">
        <v>2</v>
      </c>
      <c r="B49" s="47" t="s">
        <v>271</v>
      </c>
      <c r="C49" s="65" t="s">
        <v>272</v>
      </c>
      <c r="D49" s="47" t="s">
        <v>270</v>
      </c>
      <c r="E49" s="62">
        <v>41.1</v>
      </c>
      <c r="F49" s="47">
        <v>4</v>
      </c>
      <c r="G49" s="63">
        <f t="shared" si="4"/>
        <v>164.4</v>
      </c>
      <c r="H49" s="63">
        <f t="shared" si="5"/>
        <v>13.7</v>
      </c>
    </row>
    <row r="50" ht="57.6" spans="1:8">
      <c r="A50" s="60">
        <v>3</v>
      </c>
      <c r="B50" s="47" t="s">
        <v>271</v>
      </c>
      <c r="C50" s="66" t="s">
        <v>273</v>
      </c>
      <c r="D50" s="47" t="s">
        <v>270</v>
      </c>
      <c r="E50" s="62">
        <v>38.53</v>
      </c>
      <c r="F50" s="47">
        <v>4</v>
      </c>
      <c r="G50" s="63">
        <f t="shared" si="4"/>
        <v>154.12</v>
      </c>
      <c r="H50" s="63">
        <f t="shared" si="5"/>
        <v>12.84</v>
      </c>
    </row>
    <row r="51" ht="41.4" spans="1:8">
      <c r="A51" s="60">
        <v>4</v>
      </c>
      <c r="B51" s="64" t="s">
        <v>274</v>
      </c>
      <c r="C51" s="65" t="s">
        <v>275</v>
      </c>
      <c r="D51" s="47" t="s">
        <v>270</v>
      </c>
      <c r="E51" s="62">
        <v>14.98</v>
      </c>
      <c r="F51" s="47">
        <v>2</v>
      </c>
      <c r="G51" s="63">
        <f t="shared" si="4"/>
        <v>29.96</v>
      </c>
      <c r="H51" s="63">
        <f t="shared" si="5"/>
        <v>2.49</v>
      </c>
    </row>
    <row r="52" ht="82.8" spans="1:8">
      <c r="A52" s="60">
        <v>5</v>
      </c>
      <c r="B52" s="64" t="s">
        <v>276</v>
      </c>
      <c r="C52" s="65" t="s">
        <v>277</v>
      </c>
      <c r="D52" s="47" t="s">
        <v>278</v>
      </c>
      <c r="E52" s="62">
        <v>17.5</v>
      </c>
      <c r="F52" s="47">
        <v>2</v>
      </c>
      <c r="G52" s="63">
        <f t="shared" si="4"/>
        <v>35</v>
      </c>
      <c r="H52" s="63">
        <f t="shared" si="5"/>
        <v>2.91</v>
      </c>
    </row>
    <row r="53" ht="55.2" spans="1:8">
      <c r="A53" s="60">
        <v>6</v>
      </c>
      <c r="B53" s="47" t="s">
        <v>279</v>
      </c>
      <c r="C53" s="65" t="s">
        <v>280</v>
      </c>
      <c r="D53" s="47" t="s">
        <v>278</v>
      </c>
      <c r="E53" s="62">
        <v>61.59</v>
      </c>
      <c r="F53" s="47">
        <v>2</v>
      </c>
      <c r="G53" s="63">
        <f t="shared" si="4"/>
        <v>123.18</v>
      </c>
      <c r="H53" s="63">
        <f t="shared" si="5"/>
        <v>10.26</v>
      </c>
    </row>
    <row r="54" ht="41.4" spans="1:8">
      <c r="A54" s="60">
        <v>7</v>
      </c>
      <c r="B54" s="47" t="s">
        <v>282</v>
      </c>
      <c r="C54" s="65" t="s">
        <v>283</v>
      </c>
      <c r="D54" s="47" t="s">
        <v>278</v>
      </c>
      <c r="E54" s="62">
        <v>2.54</v>
      </c>
      <c r="F54" s="47">
        <v>4</v>
      </c>
      <c r="G54" s="63">
        <f t="shared" si="4"/>
        <v>10.16</v>
      </c>
      <c r="H54" s="63">
        <f t="shared" si="5"/>
        <v>0.84</v>
      </c>
    </row>
    <row r="55" ht="41.4" spans="1:8">
      <c r="A55" s="60">
        <v>8</v>
      </c>
      <c r="B55" s="47" t="s">
        <v>284</v>
      </c>
      <c r="C55" s="65" t="s">
        <v>285</v>
      </c>
      <c r="D55" s="47" t="s">
        <v>270</v>
      </c>
      <c r="E55" s="62">
        <v>5.8</v>
      </c>
      <c r="F55" s="47">
        <v>1</v>
      </c>
      <c r="G55" s="63">
        <f t="shared" si="4"/>
        <v>5.8</v>
      </c>
      <c r="H55" s="63">
        <f t="shared" si="5"/>
        <v>0.48</v>
      </c>
    </row>
    <row r="56" ht="69" spans="1:8">
      <c r="A56" s="60">
        <v>9</v>
      </c>
      <c r="B56" s="47" t="s">
        <v>286</v>
      </c>
      <c r="C56" s="65" t="s">
        <v>287</v>
      </c>
      <c r="D56" s="47" t="s">
        <v>270</v>
      </c>
      <c r="E56" s="62">
        <v>30</v>
      </c>
      <c r="F56" s="47">
        <v>1</v>
      </c>
      <c r="G56" s="63">
        <f t="shared" si="4"/>
        <v>30</v>
      </c>
      <c r="H56" s="63">
        <f t="shared" si="5"/>
        <v>2.5</v>
      </c>
    </row>
    <row r="57" ht="55.2" spans="1:8">
      <c r="A57" s="60">
        <v>10</v>
      </c>
      <c r="B57" s="47" t="s">
        <v>288</v>
      </c>
      <c r="C57" s="65" t="s">
        <v>289</v>
      </c>
      <c r="D57" s="47" t="s">
        <v>290</v>
      </c>
      <c r="E57" s="62">
        <v>305.97</v>
      </c>
      <c r="F57" s="47">
        <v>1</v>
      </c>
      <c r="G57" s="63">
        <f t="shared" si="4"/>
        <v>305.97</v>
      </c>
      <c r="H57" s="63">
        <f t="shared" si="5"/>
        <v>25.49</v>
      </c>
    </row>
    <row r="58" ht="55.2" spans="1:8">
      <c r="A58" s="60">
        <v>11</v>
      </c>
      <c r="B58" s="47" t="s">
        <v>291</v>
      </c>
      <c r="C58" s="65" t="s">
        <v>292</v>
      </c>
      <c r="D58" s="47" t="s">
        <v>278</v>
      </c>
      <c r="E58" s="62">
        <v>4.2</v>
      </c>
      <c r="F58" s="47">
        <v>6</v>
      </c>
      <c r="G58" s="63">
        <f t="shared" si="4"/>
        <v>25.2</v>
      </c>
      <c r="H58" s="63">
        <f t="shared" si="5"/>
        <v>2.1</v>
      </c>
    </row>
    <row r="59" ht="69" spans="1:8">
      <c r="A59" s="60">
        <v>12</v>
      </c>
      <c r="B59" s="47" t="s">
        <v>293</v>
      </c>
      <c r="C59" s="65" t="s">
        <v>294</v>
      </c>
      <c r="D59" s="47" t="s">
        <v>270</v>
      </c>
      <c r="E59" s="62">
        <v>4</v>
      </c>
      <c r="F59" s="47">
        <v>2</v>
      </c>
      <c r="G59" s="63">
        <f t="shared" si="4"/>
        <v>8</v>
      </c>
      <c r="H59" s="63">
        <f t="shared" si="5"/>
        <v>0.66</v>
      </c>
    </row>
    <row r="60" ht="41.4" spans="1:8">
      <c r="A60" s="60">
        <v>13</v>
      </c>
      <c r="B60" s="47" t="s">
        <v>295</v>
      </c>
      <c r="C60" s="65" t="s">
        <v>296</v>
      </c>
      <c r="D60" s="47" t="s">
        <v>270</v>
      </c>
      <c r="E60" s="62">
        <v>1.1</v>
      </c>
      <c r="F60" s="47">
        <v>4</v>
      </c>
      <c r="G60" s="63">
        <f t="shared" si="4"/>
        <v>4.4</v>
      </c>
      <c r="H60" s="63">
        <f t="shared" si="5"/>
        <v>0.36</v>
      </c>
    </row>
    <row r="61" ht="27.6" spans="1:8">
      <c r="A61" s="60">
        <v>14</v>
      </c>
      <c r="B61" s="47" t="s">
        <v>297</v>
      </c>
      <c r="C61" s="65" t="s">
        <v>298</v>
      </c>
      <c r="D61" s="47" t="s">
        <v>270</v>
      </c>
      <c r="E61" s="62">
        <v>10.76</v>
      </c>
      <c r="F61" s="47">
        <v>4</v>
      </c>
      <c r="G61" s="63">
        <f t="shared" si="4"/>
        <v>43.04</v>
      </c>
      <c r="H61" s="63">
        <f t="shared" si="5"/>
        <v>3.58</v>
      </c>
    </row>
    <row r="62" ht="96.6" spans="1:8">
      <c r="A62" s="60">
        <v>15</v>
      </c>
      <c r="B62" s="47" t="s">
        <v>299</v>
      </c>
      <c r="C62" s="65" t="s">
        <v>300</v>
      </c>
      <c r="D62" s="47" t="s">
        <v>270</v>
      </c>
      <c r="E62" s="62">
        <v>0.95</v>
      </c>
      <c r="F62" s="47">
        <v>12</v>
      </c>
      <c r="G62" s="63">
        <f t="shared" si="4"/>
        <v>11.4</v>
      </c>
      <c r="H62" s="63">
        <f t="shared" si="5"/>
        <v>0.95</v>
      </c>
    </row>
    <row r="63" spans="1:8">
      <c r="A63" s="19" t="s">
        <v>207</v>
      </c>
      <c r="B63" s="19"/>
      <c r="C63" s="19"/>
      <c r="D63" s="19"/>
      <c r="E63" s="19"/>
      <c r="F63" s="19"/>
      <c r="G63" s="21">
        <f>TRUNC(SUM(H48:H62),2)</f>
        <v>96.49</v>
      </c>
      <c r="H63" s="21"/>
    </row>
    <row r="66" spans="1:8">
      <c r="A66" s="53" t="s">
        <v>258</v>
      </c>
      <c r="B66" s="54"/>
      <c r="C66" s="53"/>
      <c r="D66" s="55"/>
      <c r="E66" s="53"/>
      <c r="F66" s="53"/>
      <c r="G66" s="53"/>
      <c r="H66" s="53"/>
    </row>
    <row r="67" spans="1:8">
      <c r="A67" s="56" t="s">
        <v>308</v>
      </c>
      <c r="B67" s="57"/>
      <c r="C67" s="56"/>
      <c r="D67" s="58"/>
      <c r="E67" s="56"/>
      <c r="F67" s="56"/>
      <c r="G67" s="56"/>
      <c r="H67" s="56"/>
    </row>
    <row r="68" ht="57.6" spans="1:8">
      <c r="A68" s="59" t="s">
        <v>260</v>
      </c>
      <c r="B68" s="59" t="s">
        <v>261</v>
      </c>
      <c r="C68" s="59" t="s">
        <v>262</v>
      </c>
      <c r="D68" s="59" t="s">
        <v>263</v>
      </c>
      <c r="E68" s="59" t="s">
        <v>264</v>
      </c>
      <c r="F68" s="59" t="s">
        <v>265</v>
      </c>
      <c r="G68" s="59" t="s">
        <v>266</v>
      </c>
      <c r="H68" s="59" t="s">
        <v>267</v>
      </c>
    </row>
    <row r="69" ht="55.2" spans="1:8">
      <c r="A69" s="60">
        <v>1</v>
      </c>
      <c r="B69" s="47" t="s">
        <v>268</v>
      </c>
      <c r="C69" s="65" t="s">
        <v>269</v>
      </c>
      <c r="D69" s="47" t="s">
        <v>270</v>
      </c>
      <c r="E69" s="62">
        <v>52</v>
      </c>
      <c r="F69" s="47">
        <v>4</v>
      </c>
      <c r="G69" s="63">
        <f t="shared" ref="G69:G83" si="6">TRUNC(F69*E69,2)</f>
        <v>208</v>
      </c>
      <c r="H69" s="63">
        <f t="shared" ref="H69:H83" si="7">TRUNC(G69/12,2)</f>
        <v>17.33</v>
      </c>
    </row>
    <row r="70" ht="55.2" spans="1:8">
      <c r="A70" s="60">
        <v>2</v>
      </c>
      <c r="B70" s="47" t="s">
        <v>271</v>
      </c>
      <c r="C70" s="65" t="s">
        <v>272</v>
      </c>
      <c r="D70" s="47" t="s">
        <v>270</v>
      </c>
      <c r="E70" s="62">
        <v>41.1</v>
      </c>
      <c r="F70" s="47">
        <v>4</v>
      </c>
      <c r="G70" s="63">
        <f t="shared" si="6"/>
        <v>164.4</v>
      </c>
      <c r="H70" s="63">
        <f t="shared" si="7"/>
        <v>13.7</v>
      </c>
    </row>
    <row r="71" ht="57.6" spans="1:8">
      <c r="A71" s="60">
        <v>3</v>
      </c>
      <c r="B71" s="47" t="s">
        <v>271</v>
      </c>
      <c r="C71" s="66" t="s">
        <v>273</v>
      </c>
      <c r="D71" s="47" t="s">
        <v>270</v>
      </c>
      <c r="E71" s="62">
        <v>38.53</v>
      </c>
      <c r="F71" s="47">
        <v>4</v>
      </c>
      <c r="G71" s="63">
        <f t="shared" si="6"/>
        <v>154.12</v>
      </c>
      <c r="H71" s="63">
        <f t="shared" si="7"/>
        <v>12.84</v>
      </c>
    </row>
    <row r="72" ht="41.4" spans="1:8">
      <c r="A72" s="60">
        <v>4</v>
      </c>
      <c r="B72" s="64" t="s">
        <v>274</v>
      </c>
      <c r="C72" s="65" t="s">
        <v>275</v>
      </c>
      <c r="D72" s="47" t="s">
        <v>270</v>
      </c>
      <c r="E72" s="62">
        <v>14.98</v>
      </c>
      <c r="F72" s="47">
        <v>2</v>
      </c>
      <c r="G72" s="63">
        <f t="shared" si="6"/>
        <v>29.96</v>
      </c>
      <c r="H72" s="63">
        <f t="shared" si="7"/>
        <v>2.49</v>
      </c>
    </row>
    <row r="73" ht="82.8" spans="1:8">
      <c r="A73" s="60">
        <v>5</v>
      </c>
      <c r="B73" s="64" t="s">
        <v>276</v>
      </c>
      <c r="C73" s="65" t="s">
        <v>277</v>
      </c>
      <c r="D73" s="47" t="s">
        <v>278</v>
      </c>
      <c r="E73" s="62">
        <v>17.5</v>
      </c>
      <c r="F73" s="47">
        <v>2</v>
      </c>
      <c r="G73" s="63">
        <f t="shared" si="6"/>
        <v>35</v>
      </c>
      <c r="H73" s="63">
        <f t="shared" si="7"/>
        <v>2.91</v>
      </c>
    </row>
    <row r="74" ht="96.6" spans="1:8">
      <c r="A74" s="60">
        <v>6</v>
      </c>
      <c r="B74" s="47" t="s">
        <v>279</v>
      </c>
      <c r="C74" s="65" t="s">
        <v>304</v>
      </c>
      <c r="D74" s="47" t="s">
        <v>278</v>
      </c>
      <c r="E74" s="62">
        <v>61.59</v>
      </c>
      <c r="F74" s="47">
        <v>2</v>
      </c>
      <c r="G74" s="63">
        <f t="shared" si="6"/>
        <v>123.18</v>
      </c>
      <c r="H74" s="63">
        <f t="shared" si="7"/>
        <v>10.26</v>
      </c>
    </row>
    <row r="75" ht="41.4" spans="1:8">
      <c r="A75" s="60">
        <v>7</v>
      </c>
      <c r="B75" s="47" t="s">
        <v>282</v>
      </c>
      <c r="C75" s="65" t="s">
        <v>283</v>
      </c>
      <c r="D75" s="47" t="s">
        <v>278</v>
      </c>
      <c r="E75" s="62">
        <v>2.54</v>
      </c>
      <c r="F75" s="47">
        <v>4</v>
      </c>
      <c r="G75" s="63">
        <f t="shared" si="6"/>
        <v>10.16</v>
      </c>
      <c r="H75" s="63">
        <f t="shared" si="7"/>
        <v>0.84</v>
      </c>
    </row>
    <row r="76" ht="41.4" spans="1:8">
      <c r="A76" s="60">
        <v>8</v>
      </c>
      <c r="B76" s="47" t="s">
        <v>284</v>
      </c>
      <c r="C76" s="65" t="s">
        <v>285</v>
      </c>
      <c r="D76" s="47" t="s">
        <v>270</v>
      </c>
      <c r="E76" s="62">
        <v>5.8</v>
      </c>
      <c r="F76" s="47">
        <v>1</v>
      </c>
      <c r="G76" s="63">
        <f t="shared" si="6"/>
        <v>5.8</v>
      </c>
      <c r="H76" s="63">
        <f t="shared" si="7"/>
        <v>0.48</v>
      </c>
    </row>
    <row r="77" ht="69" spans="1:8">
      <c r="A77" s="60">
        <v>9</v>
      </c>
      <c r="B77" s="47" t="s">
        <v>286</v>
      </c>
      <c r="C77" s="65" t="s">
        <v>287</v>
      </c>
      <c r="D77" s="47" t="s">
        <v>270</v>
      </c>
      <c r="E77" s="62">
        <v>30</v>
      </c>
      <c r="F77" s="47">
        <v>1</v>
      </c>
      <c r="G77" s="63">
        <f t="shared" si="6"/>
        <v>30</v>
      </c>
      <c r="H77" s="63">
        <f t="shared" si="7"/>
        <v>2.5</v>
      </c>
    </row>
    <row r="78" ht="55.2" spans="1:8">
      <c r="A78" s="60">
        <v>10</v>
      </c>
      <c r="B78" s="47" t="s">
        <v>288</v>
      </c>
      <c r="C78" s="65" t="s">
        <v>289</v>
      </c>
      <c r="D78" s="47" t="s">
        <v>290</v>
      </c>
      <c r="E78" s="62">
        <v>305.97</v>
      </c>
      <c r="F78" s="47">
        <v>1</v>
      </c>
      <c r="G78" s="63">
        <f t="shared" si="6"/>
        <v>305.97</v>
      </c>
      <c r="H78" s="63">
        <f t="shared" si="7"/>
        <v>25.49</v>
      </c>
    </row>
    <row r="79" ht="55.2" spans="1:8">
      <c r="A79" s="60">
        <v>11</v>
      </c>
      <c r="B79" s="47" t="s">
        <v>291</v>
      </c>
      <c r="C79" s="65" t="s">
        <v>292</v>
      </c>
      <c r="D79" s="47" t="s">
        <v>278</v>
      </c>
      <c r="E79" s="62">
        <v>4.2</v>
      </c>
      <c r="F79" s="47">
        <v>6</v>
      </c>
      <c r="G79" s="63">
        <f t="shared" si="6"/>
        <v>25.2</v>
      </c>
      <c r="H79" s="63">
        <f t="shared" si="7"/>
        <v>2.1</v>
      </c>
    </row>
    <row r="80" ht="69" spans="1:8">
      <c r="A80" s="60">
        <v>12</v>
      </c>
      <c r="B80" s="47" t="s">
        <v>293</v>
      </c>
      <c r="C80" s="65" t="s">
        <v>294</v>
      </c>
      <c r="D80" s="47" t="s">
        <v>270</v>
      </c>
      <c r="E80" s="62">
        <v>4</v>
      </c>
      <c r="F80" s="47">
        <v>2</v>
      </c>
      <c r="G80" s="63">
        <f t="shared" si="6"/>
        <v>8</v>
      </c>
      <c r="H80" s="63">
        <f t="shared" si="7"/>
        <v>0.66</v>
      </c>
    </row>
    <row r="81" ht="41.4" spans="1:8">
      <c r="A81" s="60">
        <v>13</v>
      </c>
      <c r="B81" s="47" t="s">
        <v>295</v>
      </c>
      <c r="C81" s="65" t="s">
        <v>296</v>
      </c>
      <c r="D81" s="47" t="s">
        <v>270</v>
      </c>
      <c r="E81" s="62">
        <v>1.1</v>
      </c>
      <c r="F81" s="47">
        <v>4</v>
      </c>
      <c r="G81" s="63">
        <f t="shared" si="6"/>
        <v>4.4</v>
      </c>
      <c r="H81" s="63">
        <f t="shared" si="7"/>
        <v>0.36</v>
      </c>
    </row>
    <row r="82" ht="27.6" spans="1:8">
      <c r="A82" s="60">
        <v>14</v>
      </c>
      <c r="B82" s="47" t="s">
        <v>297</v>
      </c>
      <c r="C82" s="65" t="s">
        <v>298</v>
      </c>
      <c r="D82" s="47" t="s">
        <v>270</v>
      </c>
      <c r="E82" s="62">
        <v>10.76</v>
      </c>
      <c r="F82" s="47">
        <v>4</v>
      </c>
      <c r="G82" s="63">
        <f t="shared" si="6"/>
        <v>43.04</v>
      </c>
      <c r="H82" s="63">
        <f t="shared" si="7"/>
        <v>3.58</v>
      </c>
    </row>
    <row r="83" ht="96.6" spans="1:8">
      <c r="A83" s="60">
        <v>15</v>
      </c>
      <c r="B83" s="47" t="s">
        <v>299</v>
      </c>
      <c r="C83" s="65" t="s">
        <v>300</v>
      </c>
      <c r="D83" s="47" t="s">
        <v>270</v>
      </c>
      <c r="E83" s="62">
        <v>0.95</v>
      </c>
      <c r="F83" s="47">
        <v>12</v>
      </c>
      <c r="G83" s="63">
        <f t="shared" si="6"/>
        <v>11.4</v>
      </c>
      <c r="H83" s="63">
        <f t="shared" si="7"/>
        <v>0.95</v>
      </c>
    </row>
    <row r="84" spans="1:8">
      <c r="A84" s="19" t="s">
        <v>207</v>
      </c>
      <c r="B84" s="19"/>
      <c r="C84" s="19"/>
      <c r="D84" s="19"/>
      <c r="E84" s="19"/>
      <c r="F84" s="19"/>
      <c r="G84" s="21">
        <f>TRUNC(SUM(H69:H83),2)</f>
        <v>96.49</v>
      </c>
      <c r="H84" s="21"/>
    </row>
    <row r="87" spans="1:8">
      <c r="A87" s="53" t="s">
        <v>258</v>
      </c>
      <c r="B87" s="54"/>
      <c r="C87" s="53"/>
      <c r="D87" s="55"/>
      <c r="E87" s="53"/>
      <c r="F87" s="53"/>
      <c r="G87" s="53"/>
      <c r="H87" s="53"/>
    </row>
    <row r="88" spans="1:8">
      <c r="A88" s="56" t="s">
        <v>309</v>
      </c>
      <c r="B88" s="57"/>
      <c r="C88" s="56"/>
      <c r="D88" s="58"/>
      <c r="E88" s="56"/>
      <c r="F88" s="56"/>
      <c r="G88" s="56"/>
      <c r="H88" s="56"/>
    </row>
    <row r="89" ht="57.6" spans="1:8">
      <c r="A89" s="59" t="s">
        <v>260</v>
      </c>
      <c r="B89" s="59" t="s">
        <v>261</v>
      </c>
      <c r="C89" s="59" t="s">
        <v>262</v>
      </c>
      <c r="D89" s="59" t="s">
        <v>263</v>
      </c>
      <c r="E89" s="59" t="s">
        <v>264</v>
      </c>
      <c r="F89" s="59" t="s">
        <v>265</v>
      </c>
      <c r="G89" s="59" t="s">
        <v>266</v>
      </c>
      <c r="H89" s="59" t="s">
        <v>267</v>
      </c>
    </row>
    <row r="90" ht="55.2" spans="1:8">
      <c r="A90" s="60">
        <v>1</v>
      </c>
      <c r="B90" s="47" t="s">
        <v>268</v>
      </c>
      <c r="C90" s="61" t="s">
        <v>269</v>
      </c>
      <c r="D90" s="47" t="s">
        <v>270</v>
      </c>
      <c r="E90" s="62">
        <v>52</v>
      </c>
      <c r="F90" s="47">
        <v>4</v>
      </c>
      <c r="G90" s="63">
        <f t="shared" ref="G90:G105" si="8">TRUNC(F90*E90,2)</f>
        <v>208</v>
      </c>
      <c r="H90" s="63">
        <f t="shared" ref="H90:H105" si="9">TRUNC(G90/12,2)</f>
        <v>17.33</v>
      </c>
    </row>
    <row r="91" ht="55.2" spans="1:8">
      <c r="A91" s="60">
        <v>2</v>
      </c>
      <c r="B91" s="47" t="s">
        <v>271</v>
      </c>
      <c r="C91" s="61" t="s">
        <v>272</v>
      </c>
      <c r="D91" s="47" t="s">
        <v>270</v>
      </c>
      <c r="E91" s="62">
        <v>41.1</v>
      </c>
      <c r="F91" s="47">
        <v>4</v>
      </c>
      <c r="G91" s="63">
        <f t="shared" si="8"/>
        <v>164.4</v>
      </c>
      <c r="H91" s="63">
        <f t="shared" si="9"/>
        <v>13.7</v>
      </c>
    </row>
    <row r="92" ht="55.2" spans="1:8">
      <c r="A92" s="60">
        <v>3</v>
      </c>
      <c r="B92" s="47" t="s">
        <v>271</v>
      </c>
      <c r="C92" s="61" t="s">
        <v>273</v>
      </c>
      <c r="D92" s="47" t="s">
        <v>270</v>
      </c>
      <c r="E92" s="62">
        <v>38.53</v>
      </c>
      <c r="F92" s="47">
        <v>4</v>
      </c>
      <c r="G92" s="63">
        <f t="shared" si="8"/>
        <v>154.12</v>
      </c>
      <c r="H92" s="63">
        <f t="shared" si="9"/>
        <v>12.84</v>
      </c>
    </row>
    <row r="93" ht="41.4" spans="1:8">
      <c r="A93" s="60">
        <v>4</v>
      </c>
      <c r="B93" s="64" t="s">
        <v>274</v>
      </c>
      <c r="C93" s="61" t="s">
        <v>275</v>
      </c>
      <c r="D93" s="47" t="s">
        <v>270</v>
      </c>
      <c r="E93" s="62">
        <v>14.98</v>
      </c>
      <c r="F93" s="47">
        <v>2</v>
      </c>
      <c r="G93" s="63">
        <f t="shared" si="8"/>
        <v>29.96</v>
      </c>
      <c r="H93" s="63">
        <f t="shared" si="9"/>
        <v>2.49</v>
      </c>
    </row>
    <row r="94" ht="82.8" spans="1:8">
      <c r="A94" s="60">
        <v>5</v>
      </c>
      <c r="B94" s="64" t="s">
        <v>276</v>
      </c>
      <c r="C94" s="61" t="s">
        <v>277</v>
      </c>
      <c r="D94" s="47" t="s">
        <v>278</v>
      </c>
      <c r="E94" s="62">
        <v>17.5</v>
      </c>
      <c r="F94" s="47">
        <v>2</v>
      </c>
      <c r="G94" s="63">
        <f t="shared" si="8"/>
        <v>35</v>
      </c>
      <c r="H94" s="63">
        <f t="shared" si="9"/>
        <v>2.91</v>
      </c>
    </row>
    <row r="95" ht="55.2" spans="1:8">
      <c r="A95" s="60">
        <v>6</v>
      </c>
      <c r="B95" s="47" t="s">
        <v>279</v>
      </c>
      <c r="C95" s="61" t="s">
        <v>280</v>
      </c>
      <c r="D95" s="47" t="s">
        <v>278</v>
      </c>
      <c r="E95" s="62">
        <v>61.59</v>
      </c>
      <c r="F95" s="47">
        <v>2</v>
      </c>
      <c r="G95" s="63">
        <f t="shared" si="8"/>
        <v>123.18</v>
      </c>
      <c r="H95" s="63">
        <f t="shared" si="9"/>
        <v>10.26</v>
      </c>
    </row>
    <row r="96" ht="96.6" spans="1:8">
      <c r="A96" s="60">
        <v>7</v>
      </c>
      <c r="B96" s="47" t="s">
        <v>279</v>
      </c>
      <c r="C96" s="61" t="s">
        <v>281</v>
      </c>
      <c r="D96" s="47" t="s">
        <v>278</v>
      </c>
      <c r="E96" s="62">
        <v>71.11</v>
      </c>
      <c r="F96" s="47">
        <v>1</v>
      </c>
      <c r="G96" s="63">
        <f t="shared" si="8"/>
        <v>71.11</v>
      </c>
      <c r="H96" s="63">
        <f t="shared" si="9"/>
        <v>5.92</v>
      </c>
    </row>
    <row r="97" ht="41.4" spans="1:8">
      <c r="A97" s="60">
        <v>8</v>
      </c>
      <c r="B97" s="47" t="s">
        <v>282</v>
      </c>
      <c r="C97" s="61" t="s">
        <v>283</v>
      </c>
      <c r="D97" s="47" t="s">
        <v>278</v>
      </c>
      <c r="E97" s="62">
        <v>2.54</v>
      </c>
      <c r="F97" s="47">
        <v>4</v>
      </c>
      <c r="G97" s="63">
        <f t="shared" si="8"/>
        <v>10.16</v>
      </c>
      <c r="H97" s="63">
        <f t="shared" si="9"/>
        <v>0.84</v>
      </c>
    </row>
    <row r="98" ht="41.4" spans="1:8">
      <c r="A98" s="60">
        <v>9</v>
      </c>
      <c r="B98" s="47" t="s">
        <v>284</v>
      </c>
      <c r="C98" s="61" t="s">
        <v>285</v>
      </c>
      <c r="D98" s="47" t="s">
        <v>270</v>
      </c>
      <c r="E98" s="62">
        <v>5.8</v>
      </c>
      <c r="F98" s="47">
        <v>1</v>
      </c>
      <c r="G98" s="63">
        <f t="shared" si="8"/>
        <v>5.8</v>
      </c>
      <c r="H98" s="63">
        <f t="shared" si="9"/>
        <v>0.48</v>
      </c>
    </row>
    <row r="99" ht="69" spans="1:8">
      <c r="A99" s="60">
        <v>10</v>
      </c>
      <c r="B99" s="47" t="s">
        <v>286</v>
      </c>
      <c r="C99" s="61" t="s">
        <v>287</v>
      </c>
      <c r="D99" s="47" t="s">
        <v>270</v>
      </c>
      <c r="E99" s="62">
        <v>30</v>
      </c>
      <c r="F99" s="47">
        <v>1</v>
      </c>
      <c r="G99" s="63">
        <f t="shared" si="8"/>
        <v>30</v>
      </c>
      <c r="H99" s="63">
        <f t="shared" si="9"/>
        <v>2.5</v>
      </c>
    </row>
    <row r="100" ht="55.2" spans="1:8">
      <c r="A100" s="60">
        <v>11</v>
      </c>
      <c r="B100" s="47" t="s">
        <v>288</v>
      </c>
      <c r="C100" s="61" t="s">
        <v>289</v>
      </c>
      <c r="D100" s="47" t="s">
        <v>290</v>
      </c>
      <c r="E100" s="62">
        <v>305.97</v>
      </c>
      <c r="F100" s="47">
        <v>1</v>
      </c>
      <c r="G100" s="63">
        <f t="shared" si="8"/>
        <v>305.97</v>
      </c>
      <c r="H100" s="63">
        <f t="shared" si="9"/>
        <v>25.49</v>
      </c>
    </row>
    <row r="101" ht="55.2" spans="1:8">
      <c r="A101" s="60">
        <v>12</v>
      </c>
      <c r="B101" s="47" t="s">
        <v>291</v>
      </c>
      <c r="C101" s="61" t="s">
        <v>292</v>
      </c>
      <c r="D101" s="47" t="s">
        <v>278</v>
      </c>
      <c r="E101" s="62">
        <v>4.2</v>
      </c>
      <c r="F101" s="47">
        <v>6</v>
      </c>
      <c r="G101" s="63">
        <f t="shared" si="8"/>
        <v>25.2</v>
      </c>
      <c r="H101" s="63">
        <f t="shared" si="9"/>
        <v>2.1</v>
      </c>
    </row>
    <row r="102" ht="69" spans="1:8">
      <c r="A102" s="60">
        <v>13</v>
      </c>
      <c r="B102" s="47" t="s">
        <v>293</v>
      </c>
      <c r="C102" s="61" t="s">
        <v>294</v>
      </c>
      <c r="D102" s="47" t="s">
        <v>270</v>
      </c>
      <c r="E102" s="62">
        <v>4</v>
      </c>
      <c r="F102" s="47">
        <v>2</v>
      </c>
      <c r="G102" s="63">
        <f t="shared" si="8"/>
        <v>8</v>
      </c>
      <c r="H102" s="63">
        <f t="shared" si="9"/>
        <v>0.66</v>
      </c>
    </row>
    <row r="103" ht="41.4" spans="1:8">
      <c r="A103" s="60">
        <v>14</v>
      </c>
      <c r="B103" s="47" t="s">
        <v>295</v>
      </c>
      <c r="C103" s="61" t="s">
        <v>296</v>
      </c>
      <c r="D103" s="47" t="s">
        <v>270</v>
      </c>
      <c r="E103" s="62">
        <v>1.1</v>
      </c>
      <c r="F103" s="47">
        <v>4</v>
      </c>
      <c r="G103" s="63">
        <f t="shared" si="8"/>
        <v>4.4</v>
      </c>
      <c r="H103" s="63">
        <f t="shared" si="9"/>
        <v>0.36</v>
      </c>
    </row>
    <row r="104" ht="27.6" spans="1:8">
      <c r="A104" s="60">
        <v>15</v>
      </c>
      <c r="B104" s="47" t="s">
        <v>297</v>
      </c>
      <c r="C104" s="61" t="s">
        <v>298</v>
      </c>
      <c r="D104" s="47" t="s">
        <v>270</v>
      </c>
      <c r="E104" s="62">
        <v>10.76</v>
      </c>
      <c r="F104" s="47">
        <v>4</v>
      </c>
      <c r="G104" s="63">
        <f t="shared" si="8"/>
        <v>43.04</v>
      </c>
      <c r="H104" s="63">
        <f t="shared" si="9"/>
        <v>3.58</v>
      </c>
    </row>
    <row r="105" ht="96.6" spans="1:8">
      <c r="A105" s="60">
        <v>16</v>
      </c>
      <c r="B105" s="60" t="s">
        <v>299</v>
      </c>
      <c r="C105" s="61" t="s">
        <v>300</v>
      </c>
      <c r="D105" s="47" t="s">
        <v>270</v>
      </c>
      <c r="E105" s="62">
        <v>0.95</v>
      </c>
      <c r="F105" s="47">
        <v>12</v>
      </c>
      <c r="G105" s="63">
        <f t="shared" si="8"/>
        <v>11.4</v>
      </c>
      <c r="H105" s="63">
        <f t="shared" si="9"/>
        <v>0.95</v>
      </c>
    </row>
    <row r="106" spans="1:8">
      <c r="A106" s="19" t="s">
        <v>207</v>
      </c>
      <c r="B106" s="19"/>
      <c r="C106" s="19"/>
      <c r="D106" s="19"/>
      <c r="E106" s="19"/>
      <c r="F106" s="19"/>
      <c r="G106" s="21">
        <f>TRUNC(SUM(H90:H105),2)</f>
        <v>102.41</v>
      </c>
      <c r="H106" s="21"/>
    </row>
    <row r="109" spans="1:8">
      <c r="A109" s="53" t="s">
        <v>258</v>
      </c>
      <c r="B109" s="54"/>
      <c r="C109" s="53"/>
      <c r="D109" s="55"/>
      <c r="E109" s="53"/>
      <c r="F109" s="53"/>
      <c r="G109" s="53"/>
      <c r="H109" s="53"/>
    </row>
    <row r="110" spans="1:8">
      <c r="A110" s="56" t="s">
        <v>310</v>
      </c>
      <c r="B110" s="57"/>
      <c r="C110" s="56"/>
      <c r="D110" s="58"/>
      <c r="E110" s="56"/>
      <c r="F110" s="56"/>
      <c r="G110" s="56"/>
      <c r="H110" s="56"/>
    </row>
    <row r="111" ht="57.6" spans="1:8">
      <c r="A111" s="59" t="s">
        <v>260</v>
      </c>
      <c r="B111" s="59" t="s">
        <v>261</v>
      </c>
      <c r="C111" s="59" t="s">
        <v>262</v>
      </c>
      <c r="D111" s="59" t="s">
        <v>263</v>
      </c>
      <c r="E111" s="59" t="s">
        <v>264</v>
      </c>
      <c r="F111" s="59" t="s">
        <v>265</v>
      </c>
      <c r="G111" s="59" t="s">
        <v>266</v>
      </c>
      <c r="H111" s="59" t="s">
        <v>267</v>
      </c>
    </row>
    <row r="112" ht="55.2" spans="1:8">
      <c r="A112" s="60">
        <v>1</v>
      </c>
      <c r="B112" s="47" t="s">
        <v>268</v>
      </c>
      <c r="C112" s="65" t="s">
        <v>269</v>
      </c>
      <c r="D112" s="47" t="s">
        <v>270</v>
      </c>
      <c r="E112" s="62">
        <v>52</v>
      </c>
      <c r="F112" s="47">
        <v>4</v>
      </c>
      <c r="G112" s="63">
        <f t="shared" ref="G112:G124" si="10">TRUNC(F112*E112,2)</f>
        <v>208</v>
      </c>
      <c r="H112" s="63">
        <f t="shared" ref="H112:H124" si="11">TRUNC(G112/12,2)</f>
        <v>17.33</v>
      </c>
    </row>
    <row r="113" ht="55.2" spans="1:8">
      <c r="A113" s="60">
        <v>2</v>
      </c>
      <c r="B113" s="47" t="s">
        <v>271</v>
      </c>
      <c r="C113" s="65" t="s">
        <v>272</v>
      </c>
      <c r="D113" s="47" t="s">
        <v>270</v>
      </c>
      <c r="E113" s="62">
        <v>41.1</v>
      </c>
      <c r="F113" s="47">
        <v>4</v>
      </c>
      <c r="G113" s="63">
        <f t="shared" si="10"/>
        <v>164.4</v>
      </c>
      <c r="H113" s="63">
        <f t="shared" si="11"/>
        <v>13.7</v>
      </c>
    </row>
    <row r="114" ht="57.6" spans="1:8">
      <c r="A114" s="60">
        <v>3</v>
      </c>
      <c r="B114" s="47" t="s">
        <v>271</v>
      </c>
      <c r="C114" s="66" t="s">
        <v>273</v>
      </c>
      <c r="D114" s="47" t="s">
        <v>270</v>
      </c>
      <c r="E114" s="62">
        <v>38.53</v>
      </c>
      <c r="F114" s="47">
        <v>4</v>
      </c>
      <c r="G114" s="63">
        <f t="shared" si="10"/>
        <v>154.12</v>
      </c>
      <c r="H114" s="63">
        <f t="shared" si="11"/>
        <v>12.84</v>
      </c>
    </row>
    <row r="115" ht="41.4" spans="1:8">
      <c r="A115" s="60">
        <v>4</v>
      </c>
      <c r="B115" s="64" t="s">
        <v>274</v>
      </c>
      <c r="C115" s="65" t="s">
        <v>275</v>
      </c>
      <c r="D115" s="47" t="s">
        <v>270</v>
      </c>
      <c r="E115" s="62">
        <v>14.98</v>
      </c>
      <c r="F115" s="47">
        <v>2</v>
      </c>
      <c r="G115" s="63">
        <f t="shared" si="10"/>
        <v>29.96</v>
      </c>
      <c r="H115" s="63">
        <f t="shared" si="11"/>
        <v>2.49</v>
      </c>
    </row>
    <row r="116" ht="82.8" spans="1:8">
      <c r="A116" s="60">
        <v>5</v>
      </c>
      <c r="B116" s="64" t="s">
        <v>276</v>
      </c>
      <c r="C116" s="65" t="s">
        <v>277</v>
      </c>
      <c r="D116" s="47" t="s">
        <v>278</v>
      </c>
      <c r="E116" s="62">
        <v>17.5</v>
      </c>
      <c r="F116" s="47">
        <v>2</v>
      </c>
      <c r="G116" s="63">
        <f t="shared" si="10"/>
        <v>35</v>
      </c>
      <c r="H116" s="63">
        <f t="shared" si="11"/>
        <v>2.91</v>
      </c>
    </row>
    <row r="117" ht="55.2" spans="1:8">
      <c r="A117" s="60">
        <v>6</v>
      </c>
      <c r="B117" s="47" t="s">
        <v>279</v>
      </c>
      <c r="C117" s="65" t="s">
        <v>280</v>
      </c>
      <c r="D117" s="47" t="s">
        <v>278</v>
      </c>
      <c r="E117" s="62">
        <v>61.59</v>
      </c>
      <c r="F117" s="47">
        <v>2</v>
      </c>
      <c r="G117" s="63">
        <f t="shared" si="10"/>
        <v>123.18</v>
      </c>
      <c r="H117" s="63">
        <f t="shared" si="11"/>
        <v>10.26</v>
      </c>
    </row>
    <row r="118" ht="96.6" spans="1:8">
      <c r="A118" s="60">
        <v>7</v>
      </c>
      <c r="B118" s="47" t="s">
        <v>279</v>
      </c>
      <c r="C118" s="65" t="s">
        <v>281</v>
      </c>
      <c r="D118" s="47" t="s">
        <v>278</v>
      </c>
      <c r="E118" s="62">
        <v>71.11</v>
      </c>
      <c r="F118" s="47">
        <v>1</v>
      </c>
      <c r="G118" s="63">
        <f t="shared" si="10"/>
        <v>71.11</v>
      </c>
      <c r="H118" s="63">
        <f t="shared" si="11"/>
        <v>5.92</v>
      </c>
    </row>
    <row r="119" ht="41.4" spans="1:8">
      <c r="A119" s="60">
        <v>8</v>
      </c>
      <c r="B119" s="47" t="s">
        <v>282</v>
      </c>
      <c r="C119" s="65" t="s">
        <v>283</v>
      </c>
      <c r="D119" s="47" t="s">
        <v>278</v>
      </c>
      <c r="E119" s="62">
        <v>2.54</v>
      </c>
      <c r="F119" s="47">
        <v>4</v>
      </c>
      <c r="G119" s="63">
        <f t="shared" si="10"/>
        <v>10.16</v>
      </c>
      <c r="H119" s="63">
        <f t="shared" si="11"/>
        <v>0.84</v>
      </c>
    </row>
    <row r="120" ht="41.4" spans="1:8">
      <c r="A120" s="60">
        <v>9</v>
      </c>
      <c r="B120" s="47" t="s">
        <v>284</v>
      </c>
      <c r="C120" s="65" t="s">
        <v>285</v>
      </c>
      <c r="D120" s="47" t="s">
        <v>270</v>
      </c>
      <c r="E120" s="62">
        <v>5.8</v>
      </c>
      <c r="F120" s="47">
        <v>1</v>
      </c>
      <c r="G120" s="63">
        <f t="shared" si="10"/>
        <v>5.8</v>
      </c>
      <c r="H120" s="63">
        <f t="shared" si="11"/>
        <v>0.48</v>
      </c>
    </row>
    <row r="121" ht="55.2" spans="1:8">
      <c r="A121" s="60">
        <v>10</v>
      </c>
      <c r="B121" s="47" t="s">
        <v>291</v>
      </c>
      <c r="C121" s="65" t="s">
        <v>292</v>
      </c>
      <c r="D121" s="47" t="s">
        <v>278</v>
      </c>
      <c r="E121" s="62">
        <v>4.2</v>
      </c>
      <c r="F121" s="47">
        <v>4</v>
      </c>
      <c r="G121" s="63">
        <f t="shared" si="10"/>
        <v>16.8</v>
      </c>
      <c r="H121" s="63">
        <f t="shared" si="11"/>
        <v>1.4</v>
      </c>
    </row>
    <row r="122" ht="69" spans="1:8">
      <c r="A122" s="60">
        <v>11</v>
      </c>
      <c r="B122" s="47" t="s">
        <v>293</v>
      </c>
      <c r="C122" s="65" t="s">
        <v>294</v>
      </c>
      <c r="D122" s="47" t="s">
        <v>270</v>
      </c>
      <c r="E122" s="62">
        <v>4</v>
      </c>
      <c r="F122" s="47">
        <v>2</v>
      </c>
      <c r="G122" s="63">
        <f t="shared" si="10"/>
        <v>8</v>
      </c>
      <c r="H122" s="63">
        <f t="shared" si="11"/>
        <v>0.66</v>
      </c>
    </row>
    <row r="123" ht="69" spans="1:8">
      <c r="A123" s="60">
        <v>12</v>
      </c>
      <c r="B123" s="47" t="s">
        <v>311</v>
      </c>
      <c r="C123" s="65" t="s">
        <v>312</v>
      </c>
      <c r="D123" s="47" t="s">
        <v>270</v>
      </c>
      <c r="E123" s="62">
        <v>15.87</v>
      </c>
      <c r="F123" s="47">
        <v>1</v>
      </c>
      <c r="G123" s="63">
        <f t="shared" si="10"/>
        <v>15.87</v>
      </c>
      <c r="H123" s="63">
        <f t="shared" si="11"/>
        <v>1.32</v>
      </c>
    </row>
    <row r="124" ht="27.6" spans="1:8">
      <c r="A124" s="60">
        <v>13</v>
      </c>
      <c r="B124" s="47" t="s">
        <v>297</v>
      </c>
      <c r="C124" s="65" t="s">
        <v>298</v>
      </c>
      <c r="D124" s="47" t="s">
        <v>270</v>
      </c>
      <c r="E124" s="62">
        <v>10.76</v>
      </c>
      <c r="F124" s="47">
        <v>4</v>
      </c>
      <c r="G124" s="63">
        <f t="shared" si="10"/>
        <v>43.04</v>
      </c>
      <c r="H124" s="63">
        <f t="shared" si="11"/>
        <v>3.58</v>
      </c>
    </row>
    <row r="125" spans="1:8">
      <c r="A125" s="19" t="s">
        <v>207</v>
      </c>
      <c r="B125" s="19"/>
      <c r="C125" s="19"/>
      <c r="D125" s="19"/>
      <c r="E125" s="19"/>
      <c r="F125" s="19"/>
      <c r="G125" s="21">
        <f>TRUNC(SUM(H112:H124),2)</f>
        <v>73.73</v>
      </c>
      <c r="H125" s="21"/>
    </row>
  </sheetData>
  <mergeCells count="24">
    <mergeCell ref="A1:H1"/>
    <mergeCell ref="A2:H2"/>
    <mergeCell ref="A20:F20"/>
    <mergeCell ref="G20:H20"/>
    <mergeCell ref="A23:H23"/>
    <mergeCell ref="A24:H24"/>
    <mergeCell ref="A42:F42"/>
    <mergeCell ref="G42:H42"/>
    <mergeCell ref="A45:H45"/>
    <mergeCell ref="A46:H46"/>
    <mergeCell ref="A63:F63"/>
    <mergeCell ref="G63:H63"/>
    <mergeCell ref="A66:H66"/>
    <mergeCell ref="A67:H67"/>
    <mergeCell ref="A84:F84"/>
    <mergeCell ref="G84:H84"/>
    <mergeCell ref="A87:H87"/>
    <mergeCell ref="A88:H88"/>
    <mergeCell ref="A106:F106"/>
    <mergeCell ref="G106:H106"/>
    <mergeCell ref="A109:H109"/>
    <mergeCell ref="A110:H110"/>
    <mergeCell ref="A125:F125"/>
    <mergeCell ref="G125:H125"/>
  </mergeCells>
  <pageMargins left="0.75" right="0.75" top="1" bottom="1" header="0.5" footer="0.5"/>
  <pageSetup paperSize="9" orientation="portrait"/>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LibreOffice/6.1.5.2$Windows_X86_64 LibreOffice_project/90f8dcf33c87b3705e78202e3df5142b201bd805</Application>
  <HeadingPairs>
    <vt:vector size="2" baseType="variant">
      <vt:variant>
        <vt:lpstr>工作表</vt:lpstr>
      </vt:variant>
      <vt:variant>
        <vt:i4>12</vt:i4>
      </vt:variant>
    </vt:vector>
  </HeadingPairs>
  <TitlesOfParts>
    <vt:vector size="12" baseType="lpstr">
      <vt:lpstr>Orientações</vt:lpstr>
      <vt:lpstr>Servente</vt:lpstr>
      <vt:lpstr>Pedreiro</vt:lpstr>
      <vt:lpstr>Eletricista</vt:lpstr>
      <vt:lpstr>Pintor</vt:lpstr>
      <vt:lpstr>Tecnico Refrigeração</vt:lpstr>
      <vt:lpstr>Auxiliar Manutenção</vt:lpstr>
      <vt:lpstr>Jardineiro</vt:lpstr>
      <vt:lpstr>Uniformes e EPI</vt:lpstr>
      <vt:lpstr>EPC</vt:lpstr>
      <vt:lpstr>Equipamentos e Materiais</vt:lpstr>
      <vt:lpstr>RESUMO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Licitação - Reitoria</cp:lastModifiedBy>
  <cp:revision>3</cp:revision>
  <dcterms:created xsi:type="dcterms:W3CDTF">2019-02-19T21:25:00Z</dcterms:created>
  <cp:lastPrinted>2020-02-20T19:26:00Z</cp:lastPrinted>
  <dcterms:modified xsi:type="dcterms:W3CDTF">2022-08-10T22:34:36Z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KSOProductBuildVer">
    <vt:lpwstr>1046-11.2.0.11251</vt:lpwstr>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ICV">
    <vt:lpwstr>36CB9152D4524E47A36AB7537F1FF8CF</vt:lpwstr>
  </property>
</Properties>
</file>